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019\OneDrive\Documents\"/>
    </mc:Choice>
  </mc:AlternateContent>
  <xr:revisionPtr revIDLastSave="0" documentId="13_ncr:1_{6B9FCCC4-24DC-4382-B502-A8986F44037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FOP" sheetId="6" r:id="rId1"/>
    <sheet name="Contract" sheetId="3" r:id="rId2"/>
    <sheet name="MCGEO" sheetId="4" r:id="rId3"/>
    <sheet name="RetireeSurv" sheetId="5" r:id="rId4"/>
    <sheet name="Med &amp; Rx Rates" sheetId="7" r:id="rId5"/>
  </sheets>
  <definedNames>
    <definedName name="wrn.1.._.New._.Client._.Pricing." hidden="1">{#N/A,#N/A,TRUE,"Cover";#N/A,#N/A,TRUE,"Table of Contents";#N/A,#N/A,TRUE,"Detailed Summary";#N/A,#N/A,TRUE,"Executive Summary";#N/A,#N/A,TRUE,"DUR Savings Pricing";#N/A,#N/A,TRUE,"Formulary Guarantees";#N/A,#N/A,TRUE,"Retail Networks";#N/A,#N/A,TRUE,"Performance Guarantees";#N/A,#N/A,TRUE,"RebatesandPD";#N/A,#N/A,TRUE,"Rebate Report";#N/A,#N/A,TRUE,"PDN"}</definedName>
    <definedName name="wrn.2.._.Existing._.Client._.Pricing." hidden="1">{#N/A,#N/A,TRUE,"Cover";#N/A,#N/A,TRUE,"Table of Contents";#N/A,#N/A,TRUE,"Detailed Summary";#N/A,#N/A,TRUE,"Executive Summary";#N/A,#N/A,TRUE,"Formulary Guarantees";#N/A,#N/A,TRUE,"Retail Networks";#N/A,#N/A,TRUE,"Performance Guarantees";#N/A,#N/A,TRUE,"RebatesandPD";#N/A,#N/A,TRUE,"Rebate Report Existing Clients";#N/A,#N/A,TRUE,"Monthly Data (2 Year Summary)";#N/A,#N/A,TRUE,"AWP";#N/A,#N/A,TRUE,"Dispensing";#N/A,#N/A,TRUE,"PDN";#N/A,#N/A,TRUE,"Network"}</definedName>
    <definedName name="wrn.3.._.New._.Client._.TPA._.or._.Broker." hidden="1">{#N/A,#N/A,FALSE,"Cover";#N/A,#N/A,FALSE,"Table of Contents";#N/A,#N/A,FALSE,"Detailed Summary";#N/A,#N/A,FALSE,"Executive Summary";#N/A,#N/A,FALSE,"Formulary Guarantees";#N/A,#N/A,FALSE,"Retail Networks";#N/A,#N/A,FALSE,"Performance Guarantees";#N/A,#N/A,FALSE,"RebatesandPD";#N/A,#N/A,FALSE,"Rebate Report";#N/A,#N/A,FALSE,"TPA Questionaire";#N/A,#N/A,FALSE,"Commissions"}</definedName>
    <definedName name="wrn.Basic._.Client._.Report." hidden="1">{#N/A,#N/A,FALSE,"SUMMARY";#N/A,#N/A,FALSE,"MAIL";#N/A,#N/A,FALSE,"RETAIL";#N/A,#N/A,FALSE,"M-R COMBO";#N/A,#N/A,FALSE,"Mail REBATE";#N/A,#N/A,FALSE,"Retail REBATE"}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7" l="1"/>
  <c r="E26" i="7"/>
  <c r="E25" i="7"/>
  <c r="E23" i="7"/>
  <c r="E22" i="7"/>
  <c r="E21" i="7"/>
  <c r="E19" i="7"/>
  <c r="E18" i="7"/>
  <c r="E17" i="7"/>
  <c r="E15" i="7"/>
  <c r="E14" i="7"/>
  <c r="E13" i="7"/>
  <c r="E11" i="7"/>
  <c r="E10" i="7"/>
  <c r="E9" i="7"/>
  <c r="E7" i="7"/>
  <c r="E6" i="7"/>
  <c r="E5" i="7"/>
  <c r="F66" i="5"/>
  <c r="G66" i="5" s="1"/>
  <c r="D66" i="5"/>
  <c r="G65" i="5"/>
  <c r="E65" i="5" s="1"/>
  <c r="F65" i="5"/>
  <c r="D65" i="5"/>
  <c r="F64" i="5"/>
  <c r="F63" i="5"/>
  <c r="F62" i="5"/>
  <c r="G62" i="5" s="1"/>
  <c r="F46" i="5"/>
  <c r="G46" i="5" s="1"/>
  <c r="D46" i="5"/>
  <c r="G45" i="5"/>
  <c r="E45" i="5" s="1"/>
  <c r="F45" i="5"/>
  <c r="D45" i="5"/>
  <c r="F44" i="5"/>
  <c r="F43" i="5"/>
  <c r="F42" i="5"/>
  <c r="G42" i="5" s="1"/>
  <c r="F26" i="5"/>
  <c r="G26" i="5" s="1"/>
  <c r="E26" i="5" s="1"/>
  <c r="D26" i="5"/>
  <c r="F25" i="5"/>
  <c r="G25" i="5" s="1"/>
  <c r="D25" i="5"/>
  <c r="F24" i="5"/>
  <c r="G24" i="5" s="1"/>
  <c r="G23" i="5"/>
  <c r="I23" i="5" s="1"/>
  <c r="K23" i="5" s="1"/>
  <c r="F23" i="5"/>
  <c r="F22" i="5"/>
  <c r="M80" i="4"/>
  <c r="G80" i="4"/>
  <c r="D80" i="4" s="1"/>
  <c r="M79" i="4"/>
  <c r="G79" i="4"/>
  <c r="D79" i="4" s="1"/>
  <c r="M78" i="4"/>
  <c r="G78" i="4"/>
  <c r="H78" i="4" s="1"/>
  <c r="M77" i="4"/>
  <c r="G77" i="4"/>
  <c r="M76" i="4"/>
  <c r="G76" i="4"/>
  <c r="D76" i="4" s="1"/>
  <c r="M49" i="4"/>
  <c r="G49" i="4"/>
  <c r="H49" i="4" s="1"/>
  <c r="J49" i="4" s="1"/>
  <c r="L49" i="4" s="1"/>
  <c r="M48" i="4"/>
  <c r="G48" i="4"/>
  <c r="H48" i="4" s="1"/>
  <c r="J48" i="4" s="1"/>
  <c r="L48" i="4" s="1"/>
  <c r="M47" i="4"/>
  <c r="G47" i="4"/>
  <c r="M46" i="4"/>
  <c r="G46" i="4"/>
  <c r="H46" i="4" s="1"/>
  <c r="J46" i="4" s="1"/>
  <c r="L46" i="4" s="1"/>
  <c r="D46" i="4"/>
  <c r="F46" i="4" s="1"/>
  <c r="M45" i="4"/>
  <c r="G45" i="4"/>
  <c r="H45" i="4" s="1"/>
  <c r="M26" i="4"/>
  <c r="G26" i="4"/>
  <c r="H26" i="4" s="1"/>
  <c r="J26" i="4" s="1"/>
  <c r="L26" i="4" s="1"/>
  <c r="M25" i="4"/>
  <c r="G25" i="4"/>
  <c r="H25" i="4" s="1"/>
  <c r="J25" i="4" s="1"/>
  <c r="L25" i="4" s="1"/>
  <c r="M24" i="4"/>
  <c r="H24" i="4"/>
  <c r="J24" i="4" s="1"/>
  <c r="L24" i="4" s="1"/>
  <c r="G24" i="4"/>
  <c r="D24" i="4"/>
  <c r="F24" i="4" s="1"/>
  <c r="M23" i="4"/>
  <c r="G23" i="4"/>
  <c r="H23" i="4" s="1"/>
  <c r="M22" i="4"/>
  <c r="G22" i="4"/>
  <c r="D22" i="4" s="1"/>
  <c r="M42" i="6"/>
  <c r="D42" i="6"/>
  <c r="E42" i="6" s="1"/>
  <c r="M41" i="6"/>
  <c r="D41" i="6"/>
  <c r="E41" i="6" s="1"/>
  <c r="M40" i="6"/>
  <c r="D40" i="6"/>
  <c r="H40" i="6" s="1"/>
  <c r="M39" i="6"/>
  <c r="D39" i="6"/>
  <c r="M38" i="6"/>
  <c r="D38" i="6"/>
  <c r="H38" i="6" s="1"/>
  <c r="E22" i="4" l="1"/>
  <c r="F22" i="4"/>
  <c r="H22" i="4"/>
  <c r="H79" i="4"/>
  <c r="J79" i="4" s="1"/>
  <c r="L79" i="4" s="1"/>
  <c r="H80" i="4"/>
  <c r="J80" i="4" s="1"/>
  <c r="L80" i="4" s="1"/>
  <c r="I24" i="4"/>
  <c r="E40" i="6"/>
  <c r="G40" i="6" s="1"/>
  <c r="E38" i="6"/>
  <c r="I66" i="5"/>
  <c r="K66" i="5" s="1"/>
  <c r="E66" i="5"/>
  <c r="I62" i="5"/>
  <c r="K62" i="5" s="1"/>
  <c r="E62" i="5"/>
  <c r="H62" i="5"/>
  <c r="D62" i="5" s="1"/>
  <c r="G64" i="5"/>
  <c r="I65" i="5"/>
  <c r="K65" i="5" s="1"/>
  <c r="G63" i="5"/>
  <c r="I42" i="5"/>
  <c r="K42" i="5" s="1"/>
  <c r="E42" i="5"/>
  <c r="H42" i="5"/>
  <c r="D42" i="5" s="1"/>
  <c r="I46" i="5"/>
  <c r="K46" i="5" s="1"/>
  <c r="E46" i="5"/>
  <c r="G44" i="5"/>
  <c r="I45" i="5"/>
  <c r="K45" i="5" s="1"/>
  <c r="G43" i="5"/>
  <c r="H43" i="5" s="1"/>
  <c r="D43" i="5" s="1"/>
  <c r="I25" i="5"/>
  <c r="K25" i="5" s="1"/>
  <c r="E25" i="5"/>
  <c r="I24" i="5"/>
  <c r="K24" i="5" s="1"/>
  <c r="E24" i="5"/>
  <c r="H24" i="5"/>
  <c r="D24" i="5" s="1"/>
  <c r="G22" i="5"/>
  <c r="H23" i="5"/>
  <c r="D23" i="5" s="1"/>
  <c r="I26" i="5"/>
  <c r="K26" i="5" s="1"/>
  <c r="E23" i="5"/>
  <c r="F76" i="4"/>
  <c r="E76" i="4"/>
  <c r="J78" i="4"/>
  <c r="L78" i="4" s="1"/>
  <c r="I78" i="4"/>
  <c r="H76" i="4"/>
  <c r="J76" i="4" s="1"/>
  <c r="L76" i="4" s="1"/>
  <c r="D77" i="4"/>
  <c r="H77" i="4"/>
  <c r="J77" i="4" s="1"/>
  <c r="L77" i="4" s="1"/>
  <c r="D78" i="4"/>
  <c r="J45" i="4"/>
  <c r="L45" i="4" s="1"/>
  <c r="I45" i="4"/>
  <c r="E46" i="4"/>
  <c r="I46" i="4"/>
  <c r="D47" i="4"/>
  <c r="H47" i="4"/>
  <c r="J47" i="4" s="1"/>
  <c r="L47" i="4" s="1"/>
  <c r="D48" i="4"/>
  <c r="D49" i="4"/>
  <c r="D45" i="4"/>
  <c r="J23" i="4"/>
  <c r="L23" i="4" s="1"/>
  <c r="I23" i="4"/>
  <c r="E24" i="4"/>
  <c r="D25" i="4"/>
  <c r="D26" i="4"/>
  <c r="D23" i="4"/>
  <c r="J40" i="6"/>
  <c r="L40" i="6" s="1"/>
  <c r="I40" i="6"/>
  <c r="J38" i="6"/>
  <c r="L38" i="6" s="1"/>
  <c r="I38" i="6"/>
  <c r="H41" i="6"/>
  <c r="J41" i="6" s="1"/>
  <c r="L41" i="6" s="1"/>
  <c r="H42" i="6"/>
  <c r="J42" i="6" s="1"/>
  <c r="L42" i="6" s="1"/>
  <c r="H39" i="6"/>
  <c r="J39" i="6" s="1"/>
  <c r="L39" i="6" s="1"/>
  <c r="E39" i="6"/>
  <c r="I22" i="4" l="1"/>
  <c r="J22" i="4"/>
  <c r="L22" i="4" s="1"/>
  <c r="F40" i="6"/>
  <c r="F42" i="6" s="1"/>
  <c r="G42" i="6" s="1"/>
  <c r="F38" i="6"/>
  <c r="G38" i="6"/>
  <c r="I64" i="5"/>
  <c r="K64" i="5" s="1"/>
  <c r="E64" i="5"/>
  <c r="H64" i="5"/>
  <c r="D64" i="5" s="1"/>
  <c r="I63" i="5"/>
  <c r="K63" i="5" s="1"/>
  <c r="E63" i="5"/>
  <c r="H63" i="5"/>
  <c r="D63" i="5" s="1"/>
  <c r="I44" i="5"/>
  <c r="K44" i="5" s="1"/>
  <c r="E44" i="5"/>
  <c r="I43" i="5"/>
  <c r="K43" i="5" s="1"/>
  <c r="E43" i="5"/>
  <c r="H44" i="5"/>
  <c r="D44" i="5" s="1"/>
  <c r="I22" i="5"/>
  <c r="K22" i="5" s="1"/>
  <c r="E22" i="5"/>
  <c r="H22" i="5"/>
  <c r="D22" i="5" s="1"/>
  <c r="E78" i="4"/>
  <c r="E77" i="4"/>
  <c r="F77" i="4"/>
  <c r="I76" i="4"/>
  <c r="I77" i="4"/>
  <c r="I47" i="4"/>
  <c r="F45" i="4"/>
  <c r="E45" i="4"/>
  <c r="F47" i="4"/>
  <c r="E47" i="4"/>
  <c r="F26" i="4"/>
  <c r="E26" i="4"/>
  <c r="E25" i="4"/>
  <c r="F25" i="4"/>
  <c r="F23" i="4"/>
  <c r="E23" i="4"/>
  <c r="F39" i="6"/>
  <c r="G39" i="6"/>
  <c r="I39" i="6"/>
  <c r="F41" i="6" l="1"/>
  <c r="G41" i="6" s="1"/>
  <c r="E80" i="4"/>
  <c r="F80" i="4" s="1"/>
  <c r="E79" i="4"/>
  <c r="F79" i="4" s="1"/>
  <c r="F78" i="4"/>
  <c r="E49" i="4"/>
  <c r="F49" i="4" s="1"/>
  <c r="E48" i="4"/>
  <c r="F48" i="4" s="1"/>
  <c r="F61" i="5" l="1"/>
  <c r="G61" i="5" s="1"/>
  <c r="D61" i="5"/>
  <c r="F60" i="5"/>
  <c r="G60" i="5" s="1"/>
  <c r="E60" i="5" s="1"/>
  <c r="D60" i="5"/>
  <c r="F59" i="5"/>
  <c r="F58" i="5"/>
  <c r="F57" i="5"/>
  <c r="G57" i="5" s="1"/>
  <c r="F41" i="5"/>
  <c r="G41" i="5" s="1"/>
  <c r="D41" i="5"/>
  <c r="F40" i="5"/>
  <c r="G40" i="5" s="1"/>
  <c r="D40" i="5"/>
  <c r="F39" i="5"/>
  <c r="G39" i="5" s="1"/>
  <c r="I39" i="5" s="1"/>
  <c r="K39" i="5" s="1"/>
  <c r="F38" i="5"/>
  <c r="F37" i="5"/>
  <c r="F21" i="5"/>
  <c r="G21" i="5" s="1"/>
  <c r="D21" i="5"/>
  <c r="F20" i="5"/>
  <c r="G20" i="5" s="1"/>
  <c r="D20" i="5"/>
  <c r="F19" i="5"/>
  <c r="F18" i="5"/>
  <c r="G18" i="5" s="1"/>
  <c r="F17" i="5"/>
  <c r="G17" i="5" s="1"/>
  <c r="H17" i="5" s="1"/>
  <c r="D17" i="5" s="1"/>
  <c r="M75" i="4"/>
  <c r="G75" i="4"/>
  <c r="H75" i="4" s="1"/>
  <c r="J75" i="4" s="1"/>
  <c r="L75" i="4" s="1"/>
  <c r="M74" i="4"/>
  <c r="G74" i="4"/>
  <c r="H74" i="4" s="1"/>
  <c r="J74" i="4" s="1"/>
  <c r="L74" i="4" s="1"/>
  <c r="M73" i="4"/>
  <c r="G73" i="4"/>
  <c r="D73" i="4" s="1"/>
  <c r="M72" i="4"/>
  <c r="G72" i="4"/>
  <c r="H72" i="4" s="1"/>
  <c r="M71" i="4"/>
  <c r="G71" i="4"/>
  <c r="M44" i="4"/>
  <c r="G44" i="4"/>
  <c r="D44" i="4" s="1"/>
  <c r="M43" i="4"/>
  <c r="G43" i="4"/>
  <c r="D43" i="4" s="1"/>
  <c r="M42" i="4"/>
  <c r="G42" i="4"/>
  <c r="H42" i="4" s="1"/>
  <c r="M41" i="4"/>
  <c r="G41" i="4"/>
  <c r="M40" i="4"/>
  <c r="G40" i="4"/>
  <c r="M21" i="4"/>
  <c r="G21" i="4"/>
  <c r="H21" i="4" s="1"/>
  <c r="J21" i="4" s="1"/>
  <c r="L21" i="4" s="1"/>
  <c r="M20" i="4"/>
  <c r="G20" i="4"/>
  <c r="H20" i="4" s="1"/>
  <c r="J20" i="4" s="1"/>
  <c r="L20" i="4" s="1"/>
  <c r="M19" i="4"/>
  <c r="G19" i="4"/>
  <c r="H19" i="4" s="1"/>
  <c r="J19" i="4" s="1"/>
  <c r="L19" i="4" s="1"/>
  <c r="M18" i="4"/>
  <c r="G18" i="4"/>
  <c r="D18" i="4" s="1"/>
  <c r="F18" i="4" s="1"/>
  <c r="M17" i="4"/>
  <c r="G17" i="4"/>
  <c r="H17" i="4" l="1"/>
  <c r="J17" i="4" s="1"/>
  <c r="L17" i="4" s="1"/>
  <c r="D17" i="4"/>
  <c r="H18" i="4"/>
  <c r="J18" i="4" s="1"/>
  <c r="L18" i="4" s="1"/>
  <c r="H43" i="4"/>
  <c r="J43" i="4" s="1"/>
  <c r="L43" i="4" s="1"/>
  <c r="H44" i="4"/>
  <c r="J44" i="4" s="1"/>
  <c r="L44" i="4" s="1"/>
  <c r="H73" i="4"/>
  <c r="J73" i="4" s="1"/>
  <c r="L73" i="4" s="1"/>
  <c r="G19" i="5"/>
  <c r="H19" i="5" s="1"/>
  <c r="D19" i="5" s="1"/>
  <c r="I57" i="5"/>
  <c r="K57" i="5" s="1"/>
  <c r="E57" i="5"/>
  <c r="H57" i="5"/>
  <c r="D57" i="5" s="1"/>
  <c r="I61" i="5"/>
  <c r="K61" i="5" s="1"/>
  <c r="E61" i="5"/>
  <c r="G59" i="5"/>
  <c r="I60" i="5"/>
  <c r="K60" i="5" s="1"/>
  <c r="G58" i="5"/>
  <c r="E40" i="5"/>
  <c r="I40" i="5"/>
  <c r="K40" i="5" s="1"/>
  <c r="E41" i="5"/>
  <c r="I41" i="5"/>
  <c r="K41" i="5" s="1"/>
  <c r="G38" i="5"/>
  <c r="H39" i="5"/>
  <c r="D39" i="5" s="1"/>
  <c r="G37" i="5"/>
  <c r="E39" i="5"/>
  <c r="E21" i="5"/>
  <c r="I21" i="5"/>
  <c r="K21" i="5" s="1"/>
  <c r="I18" i="5"/>
  <c r="K18" i="5" s="1"/>
  <c r="E18" i="5"/>
  <c r="H18" i="5"/>
  <c r="D18" i="5" s="1"/>
  <c r="E20" i="5"/>
  <c r="I20" i="5"/>
  <c r="K20" i="5" s="1"/>
  <c r="E17" i="5"/>
  <c r="I17" i="5"/>
  <c r="K17" i="5" s="1"/>
  <c r="J72" i="4"/>
  <c r="L72" i="4" s="1"/>
  <c r="I72" i="4"/>
  <c r="E73" i="4"/>
  <c r="D74" i="4"/>
  <c r="D75" i="4"/>
  <c r="D71" i="4"/>
  <c r="H71" i="4"/>
  <c r="J71" i="4" s="1"/>
  <c r="L71" i="4" s="1"/>
  <c r="D72" i="4"/>
  <c r="J42" i="4"/>
  <c r="L42" i="4" s="1"/>
  <c r="I42" i="4"/>
  <c r="D40" i="4"/>
  <c r="H40" i="4"/>
  <c r="J40" i="4" s="1"/>
  <c r="L40" i="4" s="1"/>
  <c r="D41" i="4"/>
  <c r="H41" i="4"/>
  <c r="J41" i="4" s="1"/>
  <c r="L41" i="4" s="1"/>
  <c r="D42" i="4"/>
  <c r="E18" i="4"/>
  <c r="D19" i="4"/>
  <c r="I19" i="4"/>
  <c r="D20" i="4"/>
  <c r="D21" i="4"/>
  <c r="I41" i="4" l="1"/>
  <c r="I17" i="4"/>
  <c r="F17" i="4"/>
  <c r="E17" i="4"/>
  <c r="I73" i="4"/>
  <c r="I71" i="4"/>
  <c r="I18" i="4"/>
  <c r="I19" i="5"/>
  <c r="K19" i="5" s="1"/>
  <c r="E19" i="5"/>
  <c r="I59" i="5"/>
  <c r="K59" i="5" s="1"/>
  <c r="E59" i="5"/>
  <c r="I58" i="5"/>
  <c r="K58" i="5" s="1"/>
  <c r="E58" i="5"/>
  <c r="H59" i="5"/>
  <c r="D59" i="5" s="1"/>
  <c r="H58" i="5"/>
  <c r="D58" i="5" s="1"/>
  <c r="I38" i="5"/>
  <c r="K38" i="5" s="1"/>
  <c r="E38" i="5"/>
  <c r="H38" i="5"/>
  <c r="D38" i="5" s="1"/>
  <c r="I37" i="5"/>
  <c r="K37" i="5" s="1"/>
  <c r="E37" i="5"/>
  <c r="H37" i="5"/>
  <c r="D37" i="5" s="1"/>
  <c r="E71" i="4"/>
  <c r="F71" i="4"/>
  <c r="E75" i="4"/>
  <c r="F75" i="4" s="1"/>
  <c r="E74" i="4"/>
  <c r="F74" i="4" s="1"/>
  <c r="E72" i="4"/>
  <c r="F72" i="4"/>
  <c r="F73" i="4"/>
  <c r="E41" i="4"/>
  <c r="F41" i="4"/>
  <c r="I40" i="4"/>
  <c r="F42" i="4"/>
  <c r="E42" i="4"/>
  <c r="F40" i="4"/>
  <c r="E40" i="4"/>
  <c r="F19" i="4"/>
  <c r="E19" i="4"/>
  <c r="E44" i="4" l="1"/>
  <c r="F44" i="4" s="1"/>
  <c r="E43" i="4"/>
  <c r="F43" i="4" s="1"/>
  <c r="E21" i="4"/>
  <c r="F21" i="4" s="1"/>
  <c r="E20" i="4"/>
  <c r="F20" i="4" s="1"/>
  <c r="D19" i="6" l="1"/>
  <c r="E19" i="6" s="1"/>
  <c r="M19" i="6"/>
  <c r="M33" i="6"/>
  <c r="D33" i="6"/>
  <c r="M32" i="6"/>
  <c r="D32" i="6"/>
  <c r="M29" i="6"/>
  <c r="D29" i="6"/>
  <c r="E29" i="6" s="1"/>
  <c r="M28" i="6"/>
  <c r="D28" i="6"/>
  <c r="E28" i="6" s="1"/>
  <c r="M27" i="6"/>
  <c r="D27" i="6"/>
  <c r="H27" i="6" s="1"/>
  <c r="J27" i="6" s="1"/>
  <c r="M26" i="6"/>
  <c r="D26" i="6"/>
  <c r="H26" i="6" s="1"/>
  <c r="J26" i="6" s="1"/>
  <c r="M25" i="6"/>
  <c r="D25" i="6"/>
  <c r="H25" i="6" s="1"/>
  <c r="J25" i="6" s="1"/>
  <c r="M20" i="6"/>
  <c r="D20" i="6"/>
  <c r="H20" i="6" s="1"/>
  <c r="M16" i="6"/>
  <c r="D16" i="6"/>
  <c r="H16" i="6" s="1"/>
  <c r="J16" i="6" s="1"/>
  <c r="L16" i="6" s="1"/>
  <c r="M15" i="6"/>
  <c r="D15" i="6"/>
  <c r="H15" i="6" s="1"/>
  <c r="J15" i="6" s="1"/>
  <c r="L15" i="6" s="1"/>
  <c r="M14" i="6"/>
  <c r="D14" i="6"/>
  <c r="H14" i="6" s="1"/>
  <c r="J14" i="6" s="1"/>
  <c r="L14" i="6" s="1"/>
  <c r="M13" i="6"/>
  <c r="D13" i="6"/>
  <c r="H13" i="6" s="1"/>
  <c r="M12" i="6"/>
  <c r="D12" i="6"/>
  <c r="H12" i="6" s="1"/>
  <c r="M7" i="6"/>
  <c r="D7" i="6"/>
  <c r="H7" i="6" s="1"/>
  <c r="M6" i="6"/>
  <c r="D6" i="6"/>
  <c r="H6" i="6" s="1"/>
  <c r="E25" i="6" l="1"/>
  <c r="G25" i="6" s="1"/>
  <c r="E27" i="6"/>
  <c r="G27" i="6" s="1"/>
  <c r="E26" i="6"/>
  <c r="G26" i="6" s="1"/>
  <c r="E16" i="6"/>
  <c r="E15" i="6"/>
  <c r="E20" i="6"/>
  <c r="E6" i="6"/>
  <c r="F6" i="6" s="1"/>
  <c r="E7" i="6"/>
  <c r="F7" i="6" s="1"/>
  <c r="E12" i="6"/>
  <c r="E13" i="6"/>
  <c r="G13" i="6" s="1"/>
  <c r="H19" i="6"/>
  <c r="J19" i="6" s="1"/>
  <c r="L19" i="6" s="1"/>
  <c r="F19" i="6"/>
  <c r="G19" i="6"/>
  <c r="J20" i="6"/>
  <c r="L20" i="6" s="1"/>
  <c r="I20" i="6"/>
  <c r="I26" i="6"/>
  <c r="L26" i="6"/>
  <c r="L27" i="6"/>
  <c r="I27" i="6"/>
  <c r="I6" i="6"/>
  <c r="J6" i="6"/>
  <c r="L6" i="6" s="1"/>
  <c r="I7" i="6"/>
  <c r="J7" i="6"/>
  <c r="L7" i="6" s="1"/>
  <c r="I12" i="6"/>
  <c r="J12" i="6"/>
  <c r="L12" i="6" s="1"/>
  <c r="I13" i="6"/>
  <c r="J13" i="6"/>
  <c r="L13" i="6" s="1"/>
  <c r="L25" i="6"/>
  <c r="I25" i="6"/>
  <c r="H28" i="6"/>
  <c r="H29" i="6"/>
  <c r="H32" i="6"/>
  <c r="J32" i="6" s="1"/>
  <c r="L32" i="6" s="1"/>
  <c r="H33" i="6"/>
  <c r="J33" i="6" s="1"/>
  <c r="L33" i="6" s="1"/>
  <c r="E14" i="6"/>
  <c r="I14" i="6"/>
  <c r="E32" i="6"/>
  <c r="E33" i="6"/>
  <c r="J28" i="6" l="1"/>
  <c r="L28" i="6" s="1"/>
  <c r="J29" i="6"/>
  <c r="L29" i="6" s="1"/>
  <c r="F27" i="6"/>
  <c r="F29" i="6" s="1"/>
  <c r="G29" i="6" s="1"/>
  <c r="F25" i="6"/>
  <c r="I19" i="6"/>
  <c r="F13" i="6"/>
  <c r="F26" i="6"/>
  <c r="G7" i="6"/>
  <c r="F20" i="6"/>
  <c r="G20" i="6"/>
  <c r="G6" i="6"/>
  <c r="G12" i="6"/>
  <c r="F12" i="6"/>
  <c r="I32" i="6"/>
  <c r="G33" i="6"/>
  <c r="F33" i="6"/>
  <c r="G32" i="6"/>
  <c r="F32" i="6"/>
  <c r="G14" i="6"/>
  <c r="F14" i="6"/>
  <c r="F15" i="6" s="1"/>
  <c r="I33" i="6"/>
  <c r="F28" i="6" l="1"/>
  <c r="G28" i="6" s="1"/>
  <c r="F16" i="6"/>
  <c r="G16" i="6" s="1"/>
  <c r="G15" i="6"/>
  <c r="F88" i="5"/>
  <c r="G88" i="5" s="1"/>
  <c r="I88" i="5" s="1"/>
  <c r="K88" i="5" s="1"/>
  <c r="F86" i="5"/>
  <c r="G86" i="5" s="1"/>
  <c r="I86" i="5" s="1"/>
  <c r="M53" i="4"/>
  <c r="M30" i="4"/>
  <c r="G7" i="4"/>
  <c r="H7" i="4" s="1"/>
  <c r="J7" i="4" s="1"/>
  <c r="M52" i="4"/>
  <c r="G29" i="4"/>
  <c r="M6" i="4"/>
  <c r="M29" i="4"/>
  <c r="G30" i="4"/>
  <c r="G6" i="4"/>
  <c r="D6" i="4" s="1"/>
  <c r="E6" i="4" s="1"/>
  <c r="G12" i="4"/>
  <c r="D12" i="4" s="1"/>
  <c r="G13" i="4"/>
  <c r="D13" i="4" s="1"/>
  <c r="E13" i="4" s="1"/>
  <c r="G14" i="4"/>
  <c r="D14" i="4" s="1"/>
  <c r="G15" i="4"/>
  <c r="D15" i="4" s="1"/>
  <c r="G16" i="4"/>
  <c r="H16" i="4" s="1"/>
  <c r="J16" i="4" s="1"/>
  <c r="G35" i="4"/>
  <c r="D35" i="4" s="1"/>
  <c r="G36" i="4"/>
  <c r="D36" i="4" s="1"/>
  <c r="E36" i="4" s="1"/>
  <c r="G37" i="4"/>
  <c r="D37" i="4" s="1"/>
  <c r="F37" i="4" s="1"/>
  <c r="G38" i="4"/>
  <c r="D38" i="4" s="1"/>
  <c r="G39" i="4"/>
  <c r="D39" i="4" s="1"/>
  <c r="M14" i="3"/>
  <c r="M10" i="3"/>
  <c r="G6" i="3"/>
  <c r="G10" i="3"/>
  <c r="L7" i="4" l="1"/>
  <c r="H37" i="4"/>
  <c r="J37" i="4" s="1"/>
  <c r="H38" i="4"/>
  <c r="J38" i="4" s="1"/>
  <c r="F12" i="4"/>
  <c r="E12" i="4"/>
  <c r="H36" i="4"/>
  <c r="J36" i="4" s="1"/>
  <c r="H13" i="4"/>
  <c r="J13" i="4" s="1"/>
  <c r="H15" i="4"/>
  <c r="J15" i="4" s="1"/>
  <c r="H12" i="4"/>
  <c r="J12" i="4" s="1"/>
  <c r="H39" i="4"/>
  <c r="J39" i="4" s="1"/>
  <c r="E37" i="4"/>
  <c r="E39" i="4" s="1"/>
  <c r="F39" i="4" s="1"/>
  <c r="F49" i="5"/>
  <c r="G49" i="5" s="1"/>
  <c r="I49" i="5" s="1"/>
  <c r="C90" i="5"/>
  <c r="F90" i="5" s="1"/>
  <c r="G90" i="5" s="1"/>
  <c r="I90" i="5" s="1"/>
  <c r="F29" i="5"/>
  <c r="G29" i="5" s="1"/>
  <c r="C91" i="5"/>
  <c r="F9" i="5"/>
  <c r="G9" i="5" s="1"/>
  <c r="I9" i="5" s="1"/>
  <c r="F87" i="5"/>
  <c r="G87" i="5" s="1"/>
  <c r="F13" i="4"/>
  <c r="D16" i="4"/>
  <c r="G52" i="4"/>
  <c r="D52" i="4" s="1"/>
  <c r="M7" i="4"/>
  <c r="G14" i="3"/>
  <c r="H14" i="3" s="1"/>
  <c r="C89" i="5"/>
  <c r="F89" i="5" s="1"/>
  <c r="G89" i="5" s="1"/>
  <c r="F91" i="5"/>
  <c r="G91" i="5" s="1"/>
  <c r="E88" i="5"/>
  <c r="H88" i="5"/>
  <c r="D88" i="5" s="1"/>
  <c r="E86" i="5"/>
  <c r="H86" i="5"/>
  <c r="D86" i="5" s="1"/>
  <c r="G53" i="4"/>
  <c r="H53" i="4" s="1"/>
  <c r="J53" i="4" s="1"/>
  <c r="H6" i="4"/>
  <c r="J6" i="4" s="1"/>
  <c r="D30" i="4"/>
  <c r="H30" i="4"/>
  <c r="J30" i="4" s="1"/>
  <c r="D29" i="4"/>
  <c r="H29" i="4"/>
  <c r="J29" i="4" s="1"/>
  <c r="I7" i="4"/>
  <c r="F6" i="4"/>
  <c r="D7" i="4"/>
  <c r="E35" i="4"/>
  <c r="F35" i="4"/>
  <c r="E14" i="4"/>
  <c r="F14" i="4"/>
  <c r="F36" i="4"/>
  <c r="H35" i="4"/>
  <c r="J35" i="4" s="1"/>
  <c r="H14" i="4"/>
  <c r="J14" i="4" s="1"/>
  <c r="M6" i="3"/>
  <c r="D10" i="3"/>
  <c r="H10" i="3"/>
  <c r="D6" i="3"/>
  <c r="H6" i="3"/>
  <c r="I13" i="4" l="1"/>
  <c r="L29" i="4"/>
  <c r="L6" i="4"/>
  <c r="L53" i="4"/>
  <c r="L30" i="4"/>
  <c r="E9" i="5"/>
  <c r="D53" i="4"/>
  <c r="F53" i="4" s="1"/>
  <c r="D14" i="3"/>
  <c r="I37" i="4"/>
  <c r="I12" i="4"/>
  <c r="I36" i="4"/>
  <c r="H29" i="5"/>
  <c r="D29" i="5" s="1"/>
  <c r="I29" i="5"/>
  <c r="H89" i="5"/>
  <c r="D89" i="5" s="1"/>
  <c r="I89" i="5"/>
  <c r="H87" i="5"/>
  <c r="D87" i="5" s="1"/>
  <c r="I87" i="5"/>
  <c r="H91" i="5"/>
  <c r="D91" i="5" s="1"/>
  <c r="I91" i="5"/>
  <c r="E38" i="4"/>
  <c r="F38" i="4" s="1"/>
  <c r="H52" i="4"/>
  <c r="J52" i="4" s="1"/>
  <c r="I14" i="4"/>
  <c r="H9" i="5"/>
  <c r="D9" i="5" s="1"/>
  <c r="E90" i="5"/>
  <c r="E49" i="5"/>
  <c r="H49" i="5"/>
  <c r="D49" i="5" s="1"/>
  <c r="H90" i="5"/>
  <c r="D90" i="5" s="1"/>
  <c r="E91" i="5"/>
  <c r="E89" i="5"/>
  <c r="E87" i="5"/>
  <c r="E29" i="5"/>
  <c r="I30" i="4"/>
  <c r="I53" i="4"/>
  <c r="I6" i="4"/>
  <c r="E52" i="4"/>
  <c r="F52" i="4"/>
  <c r="E29" i="4"/>
  <c r="F29" i="4"/>
  <c r="I29" i="4"/>
  <c r="F30" i="4"/>
  <c r="E30" i="4"/>
  <c r="F7" i="4"/>
  <c r="E7" i="4"/>
  <c r="I35" i="4"/>
  <c r="E15" i="4"/>
  <c r="F15" i="4" s="1"/>
  <c r="E16" i="4"/>
  <c r="F16" i="4" s="1"/>
  <c r="J14" i="3"/>
  <c r="F14" i="3"/>
  <c r="I14" i="3"/>
  <c r="E14" i="3" s="1"/>
  <c r="J10" i="3"/>
  <c r="F10" i="3"/>
  <c r="I10" i="3"/>
  <c r="E10" i="3" s="1"/>
  <c r="J6" i="3"/>
  <c r="F6" i="3"/>
  <c r="I6" i="3"/>
  <c r="E6" i="3" s="1"/>
  <c r="E53" i="4" l="1"/>
  <c r="L52" i="4"/>
  <c r="I52" i="4"/>
  <c r="M62" i="4"/>
  <c r="M61" i="4"/>
  <c r="M60" i="4"/>
  <c r="M59" i="4"/>
  <c r="M58" i="4"/>
  <c r="M39" i="4"/>
  <c r="M38" i="4"/>
  <c r="M37" i="4"/>
  <c r="M36" i="4"/>
  <c r="M35" i="4"/>
  <c r="M16" i="4"/>
  <c r="M15" i="4"/>
  <c r="M14" i="4"/>
  <c r="M13" i="4"/>
  <c r="M12" i="4"/>
  <c r="L67" i="4"/>
  <c r="K90" i="5" l="1"/>
  <c r="K89" i="5"/>
  <c r="K91" i="5"/>
  <c r="K86" i="5" l="1"/>
  <c r="K87" i="5"/>
  <c r="D56" i="5"/>
  <c r="D55" i="5"/>
  <c r="D36" i="5"/>
  <c r="D35" i="5"/>
  <c r="D16" i="5"/>
  <c r="D15" i="5"/>
  <c r="F56" i="5"/>
  <c r="G56" i="5" s="1"/>
  <c r="I56" i="5" s="1"/>
  <c r="K56" i="5" s="1"/>
  <c r="F55" i="5"/>
  <c r="G55" i="5" s="1"/>
  <c r="E55" i="5" s="1"/>
  <c r="F54" i="5"/>
  <c r="F53" i="5"/>
  <c r="G53" i="5" s="1"/>
  <c r="H53" i="5" s="1"/>
  <c r="D53" i="5" s="1"/>
  <c r="F52" i="5"/>
  <c r="G52" i="5" s="1"/>
  <c r="F36" i="5"/>
  <c r="G36" i="5" s="1"/>
  <c r="I36" i="5" s="1"/>
  <c r="K36" i="5" s="1"/>
  <c r="F35" i="5"/>
  <c r="G35" i="5" s="1"/>
  <c r="I35" i="5" s="1"/>
  <c r="K35" i="5" s="1"/>
  <c r="F34" i="5"/>
  <c r="G34" i="5" s="1"/>
  <c r="F33" i="5"/>
  <c r="F32" i="5"/>
  <c r="F16" i="5"/>
  <c r="G16" i="5" s="1"/>
  <c r="I16" i="5" s="1"/>
  <c r="K16" i="5" s="1"/>
  <c r="F15" i="5"/>
  <c r="G15" i="5" s="1"/>
  <c r="E15" i="5" s="1"/>
  <c r="F14" i="5"/>
  <c r="F13" i="5"/>
  <c r="G13" i="5" s="1"/>
  <c r="H13" i="5" s="1"/>
  <c r="D13" i="5" s="1"/>
  <c r="F12" i="5"/>
  <c r="G12" i="5" s="1"/>
  <c r="H12" i="5" s="1"/>
  <c r="D12" i="5" s="1"/>
  <c r="G62" i="4"/>
  <c r="G61" i="4"/>
  <c r="G60" i="4"/>
  <c r="G59" i="4"/>
  <c r="D59" i="4" s="1"/>
  <c r="G58" i="4"/>
  <c r="H61" i="4" l="1"/>
  <c r="J61" i="4" s="1"/>
  <c r="L61" i="4" s="1"/>
  <c r="D61" i="4"/>
  <c r="L16" i="4"/>
  <c r="L35" i="4"/>
  <c r="H62" i="4"/>
  <c r="J62" i="4" s="1"/>
  <c r="L62" i="4" s="1"/>
  <c r="D62" i="4"/>
  <c r="L15" i="4"/>
  <c r="L38" i="4"/>
  <c r="L39" i="4"/>
  <c r="H58" i="4"/>
  <c r="I58" i="4" s="1"/>
  <c r="D58" i="4"/>
  <c r="L13" i="4"/>
  <c r="E59" i="4"/>
  <c r="F59" i="4"/>
  <c r="H60" i="4"/>
  <c r="J60" i="4" s="1"/>
  <c r="L60" i="4" s="1"/>
  <c r="D60" i="4"/>
  <c r="E35" i="5"/>
  <c r="I12" i="5"/>
  <c r="K12" i="5" s="1"/>
  <c r="I13" i="5"/>
  <c r="K13" i="5" s="1"/>
  <c r="I53" i="5"/>
  <c r="K53" i="5" s="1"/>
  <c r="E16" i="5"/>
  <c r="E56" i="5"/>
  <c r="H52" i="5"/>
  <c r="D52" i="5" s="1"/>
  <c r="I52" i="5"/>
  <c r="K52" i="5" s="1"/>
  <c r="E52" i="5"/>
  <c r="K29" i="5"/>
  <c r="H34" i="5"/>
  <c r="D34" i="5" s="1"/>
  <c r="E34" i="5"/>
  <c r="I34" i="5"/>
  <c r="K34" i="5" s="1"/>
  <c r="E12" i="5"/>
  <c r="E36" i="5"/>
  <c r="I15" i="5"/>
  <c r="K15" i="5" s="1"/>
  <c r="I55" i="5"/>
  <c r="K55" i="5" s="1"/>
  <c r="E13" i="5"/>
  <c r="E53" i="5"/>
  <c r="G32" i="5"/>
  <c r="G54" i="5"/>
  <c r="G33" i="5"/>
  <c r="G14" i="5"/>
  <c r="L12" i="4"/>
  <c r="H59" i="4"/>
  <c r="J59" i="4" s="1"/>
  <c r="L59" i="4" s="1"/>
  <c r="L36" i="4"/>
  <c r="L37" i="4"/>
  <c r="L14" i="4"/>
  <c r="I60" i="4" l="1"/>
  <c r="J58" i="4"/>
  <c r="L58" i="4" s="1"/>
  <c r="F58" i="4"/>
  <c r="E58" i="4"/>
  <c r="E60" i="4"/>
  <c r="L6" i="3"/>
  <c r="I33" i="5"/>
  <c r="K33" i="5" s="1"/>
  <c r="E33" i="5"/>
  <c r="H54" i="5"/>
  <c r="D54" i="5" s="1"/>
  <c r="E54" i="5"/>
  <c r="I54" i="5"/>
  <c r="K54" i="5" s="1"/>
  <c r="K9" i="5"/>
  <c r="L10" i="3"/>
  <c r="K49" i="5"/>
  <c r="H14" i="5"/>
  <c r="D14" i="5" s="1"/>
  <c r="E14" i="5"/>
  <c r="I14" i="5"/>
  <c r="K14" i="5" s="1"/>
  <c r="I32" i="5"/>
  <c r="K32" i="5" s="1"/>
  <c r="E32" i="5"/>
  <c r="H33" i="5"/>
  <c r="D33" i="5" s="1"/>
  <c r="L14" i="3"/>
  <c r="H32" i="5"/>
  <c r="D32" i="5" s="1"/>
  <c r="I59" i="4"/>
  <c r="E62" i="4" l="1"/>
  <c r="F62" i="4" s="1"/>
  <c r="E61" i="4"/>
  <c r="F61" i="4" s="1"/>
  <c r="F60" i="4"/>
  <c r="F8" i="5" l="1"/>
  <c r="F10" i="5"/>
  <c r="G8" i="5" l="1"/>
  <c r="G5" i="3"/>
  <c r="M5" i="3"/>
  <c r="F48" i="5"/>
  <c r="D5" i="6"/>
  <c r="M5" i="6"/>
  <c r="F28" i="5"/>
  <c r="M5" i="4"/>
  <c r="G5" i="4"/>
  <c r="D8" i="6"/>
  <c r="M8" i="6"/>
  <c r="M9" i="6"/>
  <c r="D9" i="6"/>
  <c r="F50" i="5"/>
  <c r="F70" i="5"/>
  <c r="G8" i="4"/>
  <c r="M8" i="4"/>
  <c r="M9" i="4"/>
  <c r="G9" i="4"/>
  <c r="F30" i="5"/>
  <c r="G10" i="5"/>
  <c r="H10" i="5" s="1"/>
  <c r="D10" i="5" s="1"/>
  <c r="F68" i="5"/>
  <c r="C71" i="5"/>
  <c r="F71" i="5" s="1"/>
  <c r="C72" i="5" l="1"/>
  <c r="F72" i="5" s="1"/>
  <c r="G72" i="5" s="1"/>
  <c r="I72" i="5" s="1"/>
  <c r="K72" i="5" s="1"/>
  <c r="G28" i="5"/>
  <c r="D31" i="6"/>
  <c r="M31" i="6"/>
  <c r="I8" i="5"/>
  <c r="K8" i="5" s="1"/>
  <c r="E8" i="5"/>
  <c r="M9" i="3"/>
  <c r="G9" i="3"/>
  <c r="G13" i="3"/>
  <c r="M13" i="3"/>
  <c r="M18" i="6"/>
  <c r="D18" i="6"/>
  <c r="M51" i="4"/>
  <c r="G51" i="4"/>
  <c r="D5" i="3"/>
  <c r="H5" i="3"/>
  <c r="H5" i="4"/>
  <c r="J5" i="4" s="1"/>
  <c r="D5" i="4"/>
  <c r="G28" i="4"/>
  <c r="M28" i="4"/>
  <c r="H5" i="6"/>
  <c r="J5" i="6" s="1"/>
  <c r="L5" i="6" s="1"/>
  <c r="E5" i="6"/>
  <c r="G48" i="5"/>
  <c r="H48" i="5" s="1"/>
  <c r="D48" i="5" s="1"/>
  <c r="H8" i="5"/>
  <c r="D8" i="5" s="1"/>
  <c r="G71" i="5"/>
  <c r="H71" i="5" s="1"/>
  <c r="D71" i="5" s="1"/>
  <c r="D35" i="6"/>
  <c r="M35" i="6"/>
  <c r="M55" i="4"/>
  <c r="G55" i="4"/>
  <c r="G30" i="5"/>
  <c r="H30" i="5" s="1"/>
  <c r="D30" i="5" s="1"/>
  <c r="G70" i="5"/>
  <c r="H70" i="5" s="1"/>
  <c r="D70" i="5" s="1"/>
  <c r="G54" i="4"/>
  <c r="D54" i="4" s="1"/>
  <c r="M54" i="4"/>
  <c r="M32" i="4"/>
  <c r="G32" i="4"/>
  <c r="D21" i="6"/>
  <c r="M21" i="6"/>
  <c r="H9" i="4"/>
  <c r="J9" i="4" s="1"/>
  <c r="D9" i="4"/>
  <c r="D34" i="6"/>
  <c r="M34" i="6"/>
  <c r="H9" i="6"/>
  <c r="J9" i="6" s="1"/>
  <c r="L9" i="6" s="1"/>
  <c r="E9" i="6"/>
  <c r="D22" i="6"/>
  <c r="M22" i="6"/>
  <c r="G68" i="5"/>
  <c r="H68" i="5" s="1"/>
  <c r="D68" i="5" s="1"/>
  <c r="G31" i="4"/>
  <c r="M31" i="4"/>
  <c r="G50" i="5"/>
  <c r="H50" i="5" s="1"/>
  <c r="D50" i="5" s="1"/>
  <c r="C73" i="5"/>
  <c r="F73" i="5" s="1"/>
  <c r="F69" i="5"/>
  <c r="I10" i="5"/>
  <c r="K10" i="5" s="1"/>
  <c r="E10" i="5"/>
  <c r="H8" i="4"/>
  <c r="J8" i="4" s="1"/>
  <c r="D8" i="4"/>
  <c r="H8" i="6"/>
  <c r="J8" i="6" s="1"/>
  <c r="L8" i="6" s="1"/>
  <c r="E8" i="6"/>
  <c r="E72" i="5" l="1"/>
  <c r="I5" i="6"/>
  <c r="I5" i="4"/>
  <c r="H72" i="5"/>
  <c r="D72" i="5" s="1"/>
  <c r="I9" i="6"/>
  <c r="L8" i="4"/>
  <c r="L9" i="4"/>
  <c r="L5" i="4"/>
  <c r="I5" i="3"/>
  <c r="E5" i="3" s="1"/>
  <c r="I8" i="6"/>
  <c r="F5" i="6"/>
  <c r="G5" i="6"/>
  <c r="H28" i="4"/>
  <c r="J28" i="4" s="1"/>
  <c r="D28" i="4"/>
  <c r="D13" i="3"/>
  <c r="H13" i="3"/>
  <c r="I28" i="5"/>
  <c r="K28" i="5" s="1"/>
  <c r="E28" i="5"/>
  <c r="J5" i="3"/>
  <c r="F5" i="3"/>
  <c r="E18" i="6"/>
  <c r="H18" i="6"/>
  <c r="J18" i="6" s="1"/>
  <c r="L18" i="6" s="1"/>
  <c r="D9" i="3"/>
  <c r="H9" i="3"/>
  <c r="E5" i="4"/>
  <c r="F5" i="4"/>
  <c r="H31" i="6"/>
  <c r="E31" i="6"/>
  <c r="I48" i="5"/>
  <c r="K48" i="5" s="1"/>
  <c r="E48" i="5"/>
  <c r="H51" i="4"/>
  <c r="J51" i="4" s="1"/>
  <c r="D51" i="4"/>
  <c r="H28" i="5"/>
  <c r="D28" i="5" s="1"/>
  <c r="F9" i="6"/>
  <c r="G9" i="6"/>
  <c r="I50" i="5"/>
  <c r="K50" i="5" s="1"/>
  <c r="E50" i="5"/>
  <c r="H21" i="6"/>
  <c r="J21" i="6" s="1"/>
  <c r="L21" i="6" s="1"/>
  <c r="E21" i="6"/>
  <c r="H54" i="4"/>
  <c r="J54" i="4" s="1"/>
  <c r="I30" i="5"/>
  <c r="K30" i="5" s="1"/>
  <c r="E30" i="5"/>
  <c r="H35" i="6"/>
  <c r="J35" i="6" s="1"/>
  <c r="L35" i="6" s="1"/>
  <c r="E35" i="6"/>
  <c r="I8" i="4"/>
  <c r="G69" i="5"/>
  <c r="H69" i="5" s="1"/>
  <c r="D69" i="5" s="1"/>
  <c r="I9" i="4"/>
  <c r="H32" i="4"/>
  <c r="J32" i="4" s="1"/>
  <c r="D32" i="4"/>
  <c r="H55" i="4"/>
  <c r="J55" i="4" s="1"/>
  <c r="D55" i="4"/>
  <c r="E34" i="6"/>
  <c r="H34" i="6"/>
  <c r="J34" i="6" s="1"/>
  <c r="L34" i="6" s="1"/>
  <c r="I68" i="5"/>
  <c r="K68" i="5" s="1"/>
  <c r="E68" i="5"/>
  <c r="F9" i="4"/>
  <c r="E9" i="4"/>
  <c r="F8" i="6"/>
  <c r="G8" i="6"/>
  <c r="E8" i="4"/>
  <c r="F8" i="4"/>
  <c r="G73" i="5"/>
  <c r="H73" i="5" s="1"/>
  <c r="D73" i="5" s="1"/>
  <c r="D31" i="4"/>
  <c r="H31" i="4"/>
  <c r="J31" i="4" s="1"/>
  <c r="H22" i="6"/>
  <c r="J22" i="6" s="1"/>
  <c r="L22" i="6" s="1"/>
  <c r="E22" i="6"/>
  <c r="I70" i="5"/>
  <c r="K70" i="5" s="1"/>
  <c r="E70" i="5"/>
  <c r="E71" i="5"/>
  <c r="I71" i="5"/>
  <c r="K71" i="5" s="1"/>
  <c r="J31" i="6" l="1"/>
  <c r="L31" i="6" s="1"/>
  <c r="L54" i="4"/>
  <c r="I13" i="3"/>
  <c r="E13" i="3" s="1"/>
  <c r="L55" i="4"/>
  <c r="L51" i="4"/>
  <c r="L5" i="3"/>
  <c r="L31" i="4"/>
  <c r="L32" i="4"/>
  <c r="L28" i="4"/>
  <c r="I34" i="6"/>
  <c r="I21" i="6"/>
  <c r="I18" i="6"/>
  <c r="I51" i="4"/>
  <c r="I28" i="4"/>
  <c r="J9" i="3"/>
  <c r="F9" i="3"/>
  <c r="F18" i="6"/>
  <c r="G18" i="6"/>
  <c r="E51" i="4"/>
  <c r="F51" i="4"/>
  <c r="E28" i="4"/>
  <c r="F28" i="4"/>
  <c r="I31" i="6"/>
  <c r="F13" i="3"/>
  <c r="J13" i="3"/>
  <c r="G31" i="6"/>
  <c r="F31" i="6"/>
  <c r="I9" i="3"/>
  <c r="E9" i="3" s="1"/>
  <c r="I35" i="6"/>
  <c r="I22" i="6"/>
  <c r="G22" i="6"/>
  <c r="F22" i="6"/>
  <c r="G34" i="6"/>
  <c r="F34" i="6"/>
  <c r="I32" i="4"/>
  <c r="F35" i="6"/>
  <c r="G35" i="6"/>
  <c r="I54" i="4"/>
  <c r="G21" i="6"/>
  <c r="F21" i="6"/>
  <c r="E55" i="4"/>
  <c r="F55" i="4"/>
  <c r="F31" i="4"/>
  <c r="E31" i="4"/>
  <c r="I31" i="4"/>
  <c r="I73" i="5"/>
  <c r="K73" i="5" s="1"/>
  <c r="E73" i="5"/>
  <c r="I55" i="4"/>
  <c r="E32" i="4"/>
  <c r="F32" i="4"/>
  <c r="E69" i="5"/>
  <c r="I69" i="5"/>
  <c r="K69" i="5" s="1"/>
  <c r="F54" i="4"/>
  <c r="E54" i="4"/>
  <c r="L13" i="3" l="1"/>
  <c r="L9" i="3"/>
  <c r="F77" i="5"/>
  <c r="G77" i="5" l="1"/>
  <c r="H77" i="5" s="1"/>
  <c r="D77" i="5" s="1"/>
  <c r="M11" i="6"/>
  <c r="D11" i="6"/>
  <c r="F79" i="5"/>
  <c r="F78" i="5"/>
  <c r="M11" i="4"/>
  <c r="G11" i="4"/>
  <c r="M34" i="4" l="1"/>
  <c r="G34" i="4"/>
  <c r="G79" i="5"/>
  <c r="H79" i="5" s="1"/>
  <c r="D79" i="5" s="1"/>
  <c r="D24" i="6"/>
  <c r="M24" i="6"/>
  <c r="D37" i="6"/>
  <c r="M37" i="6"/>
  <c r="H11" i="4"/>
  <c r="J11" i="4" s="1"/>
  <c r="D11" i="4"/>
  <c r="G78" i="5"/>
  <c r="M57" i="4"/>
  <c r="G57" i="4"/>
  <c r="H11" i="6"/>
  <c r="J11" i="6" s="1"/>
  <c r="L11" i="6" s="1"/>
  <c r="E11" i="6"/>
  <c r="I77" i="5"/>
  <c r="K77" i="5" s="1"/>
  <c r="E77" i="5"/>
  <c r="I11" i="4" l="1"/>
  <c r="L11" i="4"/>
  <c r="I78" i="5"/>
  <c r="K78" i="5" s="1"/>
  <c r="E78" i="5"/>
  <c r="H37" i="6"/>
  <c r="J37" i="6" s="1"/>
  <c r="L37" i="6" s="1"/>
  <c r="E37" i="6"/>
  <c r="I79" i="5"/>
  <c r="K79" i="5" s="1"/>
  <c r="E79" i="5"/>
  <c r="F11" i="6"/>
  <c r="G11" i="6"/>
  <c r="F11" i="4"/>
  <c r="E11" i="4"/>
  <c r="D34" i="4"/>
  <c r="H34" i="4"/>
  <c r="J34" i="4" s="1"/>
  <c r="D57" i="4"/>
  <c r="H57" i="4"/>
  <c r="J57" i="4" s="1"/>
  <c r="I11" i="6"/>
  <c r="H78" i="5"/>
  <c r="D78" i="5" s="1"/>
  <c r="H24" i="6"/>
  <c r="E24" i="6"/>
  <c r="J24" i="6" l="1"/>
  <c r="L24" i="6" s="1"/>
  <c r="L57" i="4"/>
  <c r="L34" i="4"/>
  <c r="I34" i="4"/>
  <c r="F57" i="4"/>
  <c r="E57" i="4"/>
  <c r="E34" i="4"/>
  <c r="F34" i="4"/>
  <c r="G37" i="6"/>
  <c r="F37" i="6"/>
  <c r="G24" i="6"/>
  <c r="F24" i="6"/>
  <c r="I24" i="6"/>
  <c r="I57" i="4"/>
  <c r="I37" i="6"/>
  <c r="M7" i="3"/>
  <c r="G7" i="3"/>
  <c r="F51" i="5"/>
  <c r="D10" i="6"/>
  <c r="M10" i="6"/>
  <c r="M10" i="4"/>
  <c r="G10" i="4"/>
  <c r="F11" i="5"/>
  <c r="C82" i="5"/>
  <c r="F82" i="5" s="1"/>
  <c r="C80" i="5"/>
  <c r="F80" i="5" s="1"/>
  <c r="H10" i="4" l="1"/>
  <c r="J10" i="4" s="1"/>
  <c r="D10" i="4"/>
  <c r="M11" i="3"/>
  <c r="G11" i="3"/>
  <c r="M56" i="4"/>
  <c r="G56" i="4"/>
  <c r="G80" i="5"/>
  <c r="D23" i="6"/>
  <c r="M23" i="6"/>
  <c r="M15" i="3"/>
  <c r="G15" i="3"/>
  <c r="G82" i="5"/>
  <c r="H82" i="5" s="1"/>
  <c r="D82" i="5" s="1"/>
  <c r="G33" i="4"/>
  <c r="M33" i="4"/>
  <c r="M36" i="6"/>
  <c r="D36" i="6"/>
  <c r="D7" i="3"/>
  <c r="H7" i="3"/>
  <c r="G11" i="5"/>
  <c r="H11" i="5" s="1"/>
  <c r="D11" i="5" s="1"/>
  <c r="H10" i="6"/>
  <c r="J10" i="6" s="1"/>
  <c r="L10" i="6" s="1"/>
  <c r="E10" i="6"/>
  <c r="F31" i="5"/>
  <c r="C81" i="5"/>
  <c r="F81" i="5" s="1"/>
  <c r="G51" i="5"/>
  <c r="H51" i="5" s="1"/>
  <c r="D51" i="5" s="1"/>
  <c r="L10" i="4" l="1"/>
  <c r="I10" i="4"/>
  <c r="I10" i="6"/>
  <c r="G31" i="5"/>
  <c r="H31" i="5" s="1"/>
  <c r="D31" i="5" s="1"/>
  <c r="I80" i="5"/>
  <c r="K80" i="5" s="1"/>
  <c r="E80" i="5"/>
  <c r="H33" i="4"/>
  <c r="J33" i="4" s="1"/>
  <c r="D33" i="4"/>
  <c r="I11" i="5"/>
  <c r="K11" i="5" s="1"/>
  <c r="E11" i="5"/>
  <c r="E36" i="6"/>
  <c r="H36" i="6"/>
  <c r="J36" i="6" s="1"/>
  <c r="L36" i="6" s="1"/>
  <c r="D56" i="4"/>
  <c r="H56" i="4"/>
  <c r="J56" i="4" s="1"/>
  <c r="I51" i="5"/>
  <c r="K51" i="5" s="1"/>
  <c r="E51" i="5"/>
  <c r="J7" i="3"/>
  <c r="F7" i="3"/>
  <c r="H23" i="6"/>
  <c r="E23" i="6"/>
  <c r="E10" i="4"/>
  <c r="F10" i="4"/>
  <c r="F10" i="6"/>
  <c r="G10" i="6"/>
  <c r="I82" i="5"/>
  <c r="K82" i="5" s="1"/>
  <c r="E82" i="5"/>
  <c r="G81" i="5"/>
  <c r="H81" i="5" s="1"/>
  <c r="D81" i="5" s="1"/>
  <c r="I7" i="3"/>
  <c r="E7" i="3" s="1"/>
  <c r="D15" i="3"/>
  <c r="H15" i="3"/>
  <c r="H80" i="5"/>
  <c r="D80" i="5" s="1"/>
  <c r="D11" i="3"/>
  <c r="H11" i="3"/>
  <c r="J23" i="6" l="1"/>
  <c r="L23" i="6" s="1"/>
  <c r="L33" i="4"/>
  <c r="I15" i="3"/>
  <c r="E15" i="3" s="1"/>
  <c r="L56" i="4"/>
  <c r="I11" i="3"/>
  <c r="E11" i="3" s="1"/>
  <c r="L7" i="3"/>
  <c r="I33" i="4"/>
  <c r="I36" i="6"/>
  <c r="I56" i="4"/>
  <c r="G23" i="6"/>
  <c r="F23" i="6"/>
  <c r="F36" i="6"/>
  <c r="G36" i="6"/>
  <c r="E33" i="4"/>
  <c r="F33" i="4"/>
  <c r="J11" i="3"/>
  <c r="F11" i="3"/>
  <c r="J15" i="3"/>
  <c r="F15" i="3"/>
  <c r="E81" i="5"/>
  <c r="I81" i="5"/>
  <c r="K81" i="5" s="1"/>
  <c r="I23" i="6"/>
  <c r="F56" i="4"/>
  <c r="E56" i="4"/>
  <c r="E31" i="5"/>
  <c r="I31" i="5"/>
  <c r="K31" i="5" s="1"/>
  <c r="L11" i="3" l="1"/>
  <c r="L15" i="3"/>
</calcChain>
</file>

<file path=xl/sharedStrings.xml><?xml version="1.0" encoding="utf-8"?>
<sst xmlns="http://schemas.openxmlformats.org/spreadsheetml/2006/main" count="543" uniqueCount="102">
  <si>
    <t>Plan</t>
  </si>
  <si>
    <t>Total Annual</t>
  </si>
  <si>
    <t>Employee Annual</t>
  </si>
  <si>
    <t>Employer Annual</t>
  </si>
  <si>
    <t xml:space="preserve">1 Medicare Complement </t>
  </si>
  <si>
    <t xml:space="preserve">2 Medicare Complement </t>
  </si>
  <si>
    <t xml:space="preserve">Family - 3 or More All Medicare Complement </t>
  </si>
  <si>
    <t>1 Medicare Complement + 1 POS</t>
  </si>
  <si>
    <t>1 Medicare Complement + 2 or More POS</t>
  </si>
  <si>
    <t>2 Medicare Complement + 1 or More POS</t>
  </si>
  <si>
    <t>1 Medicare Complement + 1 EPO&lt;65</t>
  </si>
  <si>
    <t>1 Medicare Complement + 2 or More EPO&lt;65</t>
  </si>
  <si>
    <t>1 Medicare Complement + 1 HMO</t>
  </si>
  <si>
    <t>1 Medicare Complement + 2 or More HMO</t>
  </si>
  <si>
    <t>2 Medicare Complement + 1 or More HMO</t>
  </si>
  <si>
    <t>Cost Share%</t>
  </si>
  <si>
    <t>80%/20%</t>
  </si>
  <si>
    <t>2 Medicare Complement + 1 or More EPO&lt;65</t>
  </si>
  <si>
    <t>Caremark Prescription</t>
  </si>
  <si>
    <t>Kaiser Permanente HMO with Prescription</t>
  </si>
  <si>
    <t>Kaiser Permanente Medicare Complement</t>
  </si>
  <si>
    <t>UnitedHealthcare Choice Plus POS</t>
  </si>
  <si>
    <t>UHC Medicare Complement Plan</t>
  </si>
  <si>
    <t>UnitedHealthcare Select EPO</t>
  </si>
  <si>
    <t>UHC Select EPO Medicare Eligible</t>
  </si>
  <si>
    <t>Delta Dental PPO</t>
  </si>
  <si>
    <t>Delta Dental HMO</t>
  </si>
  <si>
    <t>EyeMed Vision Plan - Low</t>
  </si>
  <si>
    <t>EyeMed Vision Plan - Moderate</t>
  </si>
  <si>
    <t>EyeMed Vision Plan - High</t>
  </si>
  <si>
    <t xml:space="preserve"> </t>
  </si>
  <si>
    <t xml:space="preserve">Retiree Monthly </t>
  </si>
  <si>
    <t>Cost Share %</t>
  </si>
  <si>
    <t xml:space="preserve">Full Bi-Weekly Rate </t>
  </si>
  <si>
    <t xml:space="preserve">M-NCPPC Monthly </t>
  </si>
  <si>
    <t>65%/35%</t>
  </si>
  <si>
    <t>Monthly COBRA Rates</t>
  </si>
  <si>
    <t xml:space="preserve">M-NCPPC      Bi-Weekly </t>
  </si>
  <si>
    <t xml:space="preserve">Employee      Bi-Weekly </t>
  </si>
  <si>
    <t xml:space="preserve">UNITEDHEALTHCARE MEDICARE COMPLEMENT PLAN </t>
  </si>
  <si>
    <t xml:space="preserve">SINGLE COVERAGE </t>
  </si>
  <si>
    <t xml:space="preserve">TWO MEMBER COVERAGE </t>
  </si>
  <si>
    <t xml:space="preserve">FAMILY COVERAGE </t>
  </si>
  <si>
    <t xml:space="preserve">LEGAL PLANS </t>
  </si>
  <si>
    <t xml:space="preserve">Legal Resources </t>
  </si>
  <si>
    <t>0%/100%</t>
  </si>
  <si>
    <t xml:space="preserve">U.S. Legal </t>
  </si>
  <si>
    <t xml:space="preserve">KAISER PERMANENTE MEDICARE COMPLEMENT PLAN WITH PRESCRIPTION DRUG </t>
  </si>
  <si>
    <t xml:space="preserve">UNITED HEALTHCARE EPO MEDICARE PLAN </t>
  </si>
  <si>
    <t>FAMILY COVERAGE</t>
  </si>
  <si>
    <t>See Note*</t>
  </si>
  <si>
    <t>77%/23%</t>
  </si>
  <si>
    <t xml:space="preserve">OTHER PLANS </t>
  </si>
  <si>
    <t>SINGLE COVERAGE</t>
  </si>
  <si>
    <t>M-NCPPC         Bi-Weekly</t>
  </si>
  <si>
    <t>Employee          Bi-Weekly</t>
  </si>
  <si>
    <t xml:space="preserve">* Vision -  Employer pays 80% of Low Option Plan toward any level of coverage.  Member responsible for any balance. </t>
  </si>
  <si>
    <t>85%/15%</t>
  </si>
  <si>
    <t>Monthly COBRA Rate</t>
  </si>
  <si>
    <t>2020 Retiree Monthly</t>
  </si>
  <si>
    <t>Lowest Cost Plan</t>
  </si>
  <si>
    <t>Family</t>
  </si>
  <si>
    <t>Two-Party</t>
  </si>
  <si>
    <t>Individual</t>
  </si>
  <si>
    <t>Kaiser Medical &amp; Rx - O65 Retirees</t>
  </si>
  <si>
    <t>Kaiser Medical &amp; Rx - U65 Retirees</t>
  </si>
  <si>
    <t>Kaiser Medical &amp; Rx - Actives</t>
  </si>
  <si>
    <t>Rx - O65 Retirees</t>
  </si>
  <si>
    <t>Rx -  U65 Retirees</t>
  </si>
  <si>
    <t>Rx -  Actives</t>
  </si>
  <si>
    <t xml:space="preserve">UHC Medicare Complement Over 65 </t>
  </si>
  <si>
    <t>UHC POS Under 65</t>
  </si>
  <si>
    <t>UHC POS Actives</t>
  </si>
  <si>
    <t>UHC EPO Over 65</t>
  </si>
  <si>
    <t>UHC EPO Under 65</t>
  </si>
  <si>
    <t>UHC EPO Actives</t>
  </si>
  <si>
    <t>% Change</t>
  </si>
  <si>
    <t>2021 Rounded Rates</t>
  </si>
  <si>
    <t>2020 Rates</t>
  </si>
  <si>
    <t>Full 2021 Monthly Rate</t>
  </si>
  <si>
    <t>$ Change from 2020</t>
  </si>
  <si>
    <t>FRATERNAL ORDER OF POLICE (FOP) PREMIUM RATES EFFECTIVE 1/1/2021</t>
  </si>
  <si>
    <t>CONTRACT EMPLOYEES PREMIUM RATES EFFECTIVE 1/1/2021</t>
  </si>
  <si>
    <t xml:space="preserve">M-NCPPC     Bi-Weekly </t>
  </si>
  <si>
    <t>2021 Employee      Bi-weekly</t>
  </si>
  <si>
    <t>2020 Employee        Bi-Weekly</t>
  </si>
  <si>
    <t>2021 Employee      Bi-Weekly</t>
  </si>
  <si>
    <t>2020 Employee     Bi-Weekly</t>
  </si>
  <si>
    <t>MCGEO, NON-UNION REPRESENTED PREMIUM RATES EFFECTIVE 1/1/2021</t>
  </si>
  <si>
    <t>2021 Retiree Monthly</t>
  </si>
  <si>
    <t>NMR - Kaiser / MR - Kaiser</t>
  </si>
  <si>
    <t>Monthly</t>
  </si>
  <si>
    <t xml:space="preserve">Full                 Bi-Weekly </t>
  </si>
  <si>
    <t>Long-Term Disability (Per $100 Monthly Benefit)</t>
  </si>
  <si>
    <t>Basic Life Ins. (Per $1,000 Monthly Benefit)</t>
  </si>
  <si>
    <t>AD&amp;D (Per $1,000 Monthly Benefit)</t>
  </si>
  <si>
    <t>RETIREE/SURVIVORS PREMIUM RATES EFFECTIVE 1/1/2021</t>
  </si>
  <si>
    <t>85%/20%</t>
  </si>
  <si>
    <t>FINAL MCGEO</t>
  </si>
  <si>
    <t>OTHER PLANS</t>
  </si>
  <si>
    <t>Legal Resources (24 pay periods)</t>
  </si>
  <si>
    <t>kkkk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</si>
</sst>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_(&quot;$&quot;* #,##0.000_);_(&quot;$&quot;* \(#,##0.000\);_(&quot;$&quot;* &quot;-&quot;??_);_(@_)"/>
    <numFmt numFmtId="167" formatCode="&quot;$&quot;#,##0.000_);[Red]\(&quot;$&quot;#,##0.000\)"/>
    <numFmt numFmtId="168" formatCode="0.0%;[Red]\(0.0%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C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0" fillId="0" borderId="0">
      <alignment vertical="top"/>
    </xf>
  </cellStyleXfs>
  <cellXfs count="353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/>
    <xf numFmtId="0" fontId="5" fillId="2" borderId="4" xfId="0" applyFont="1" applyFill="1" applyBorder="1" applyAlignment="1">
      <alignment horizontal="center" wrapText="1"/>
    </xf>
    <xf numFmtId="0" fontId="3" fillId="4" borderId="0" xfId="0" applyFont="1" applyFill="1"/>
    <xf numFmtId="0" fontId="0" fillId="4" borderId="0" xfId="0" applyFill="1"/>
    <xf numFmtId="0" fontId="6" fillId="4" borderId="0" xfId="0" applyFont="1" applyFill="1" applyBorder="1"/>
    <xf numFmtId="0" fontId="7" fillId="4" borderId="0" xfId="0" applyFont="1" applyFill="1" applyBorder="1"/>
    <xf numFmtId="0" fontId="8" fillId="2" borderId="3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0" fillId="5" borderId="0" xfId="0" applyFill="1"/>
    <xf numFmtId="0" fontId="2" fillId="5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2" fillId="0" borderId="0" xfId="0" applyFont="1"/>
    <xf numFmtId="0" fontId="0" fillId="0" borderId="0" xfId="0" applyFill="1"/>
    <xf numFmtId="0" fontId="3" fillId="0" borderId="1" xfId="0" applyFont="1" applyFill="1" applyBorder="1"/>
    <xf numFmtId="165" fontId="6" fillId="0" borderId="0" xfId="2" applyNumberFormat="1" applyFont="1" applyFill="1" applyBorder="1" applyAlignment="1">
      <alignment horizontal="center"/>
    </xf>
    <xf numFmtId="0" fontId="7" fillId="0" borderId="0" xfId="0" applyFont="1" applyFill="1" applyBorder="1"/>
    <xf numFmtId="8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4" fillId="0" borderId="4" xfId="0" applyFont="1" applyFill="1" applyBorder="1"/>
    <xf numFmtId="0" fontId="3" fillId="0" borderId="5" xfId="0" applyFont="1" applyFill="1" applyBorder="1"/>
    <xf numFmtId="8" fontId="4" fillId="0" borderId="1" xfId="0" applyNumberFormat="1" applyFont="1" applyFill="1" applyBorder="1" applyAlignment="1">
      <alignment horizontal="center"/>
    </xf>
    <xf numFmtId="8" fontId="4" fillId="0" borderId="1" xfId="0" applyNumberFormat="1" applyFont="1" applyFill="1" applyBorder="1"/>
    <xf numFmtId="8" fontId="3" fillId="0" borderId="1" xfId="0" applyNumberFormat="1" applyFont="1" applyFill="1" applyBorder="1"/>
    <xf numFmtId="0" fontId="10" fillId="0" borderId="0" xfId="4" applyAlignment="1"/>
    <xf numFmtId="0" fontId="10" fillId="0" borderId="0" xfId="4" applyAlignment="1">
      <alignment horizontal="center"/>
    </xf>
    <xf numFmtId="8" fontId="10" fillId="0" borderId="0" xfId="4" applyNumberFormat="1" applyAlignment="1">
      <alignment horizontal="center"/>
    </xf>
    <xf numFmtId="0" fontId="10" fillId="0" borderId="0" xfId="4" applyFill="1" applyAlignment="1"/>
    <xf numFmtId="0" fontId="10" fillId="0" borderId="0" xfId="4" applyFill="1" applyAlignment="1">
      <alignment horizontal="center"/>
    </xf>
    <xf numFmtId="0" fontId="11" fillId="6" borderId="12" xfId="4" applyNumberFormat="1" applyFont="1" applyFill="1" applyBorder="1" applyAlignment="1">
      <alignment horizontal="centerContinuous"/>
    </xf>
    <xf numFmtId="0" fontId="11" fillId="7" borderId="13" xfId="4" applyNumberFormat="1" applyFont="1" applyFill="1" applyBorder="1" applyAlignment="1">
      <alignment horizontal="centerContinuous"/>
    </xf>
    <xf numFmtId="0" fontId="11" fillId="7" borderId="14" xfId="4" applyFont="1" applyFill="1" applyBorder="1" applyAlignment="1"/>
    <xf numFmtId="8" fontId="10" fillId="0" borderId="0" xfId="4" applyNumberFormat="1" applyFill="1" applyAlignment="1"/>
    <xf numFmtId="6" fontId="10" fillId="0" borderId="0" xfId="4" applyNumberFormat="1" applyFill="1" applyAlignment="1"/>
    <xf numFmtId="6" fontId="10" fillId="0" borderId="0" xfId="4" applyNumberFormat="1" applyFill="1" applyAlignment="1">
      <alignment horizontal="center"/>
    </xf>
    <xf numFmtId="168" fontId="12" fillId="4" borderId="15" xfId="4" applyNumberFormat="1" applyFont="1" applyFill="1" applyBorder="1" applyAlignment="1">
      <alignment horizontal="center"/>
    </xf>
    <xf numFmtId="8" fontId="12" fillId="4" borderId="16" xfId="4" quotePrefix="1" applyNumberFormat="1" applyFont="1" applyFill="1" applyBorder="1" applyAlignment="1">
      <alignment horizontal="center"/>
    </xf>
    <xf numFmtId="8" fontId="12" fillId="4" borderId="17" xfId="4" applyNumberFormat="1" applyFont="1" applyFill="1" applyBorder="1" applyAlignment="1">
      <alignment horizontal="center"/>
    </xf>
    <xf numFmtId="0" fontId="12" fillId="4" borderId="18" xfId="4" applyFont="1" applyFill="1" applyBorder="1" applyAlignment="1"/>
    <xf numFmtId="168" fontId="12" fillId="4" borderId="19" xfId="4" applyNumberFormat="1" applyFont="1" applyFill="1" applyBorder="1" applyAlignment="1">
      <alignment horizontal="center"/>
    </xf>
    <xf numFmtId="8" fontId="12" fillId="4" borderId="20" xfId="4" quotePrefix="1" applyNumberFormat="1" applyFont="1" applyFill="1" applyBorder="1" applyAlignment="1">
      <alignment horizontal="center"/>
    </xf>
    <xf numFmtId="8" fontId="12" fillId="4" borderId="21" xfId="4" applyNumberFormat="1" applyFont="1" applyFill="1" applyBorder="1" applyAlignment="1">
      <alignment horizontal="center"/>
    </xf>
    <xf numFmtId="0" fontId="12" fillId="4" borderId="22" xfId="4" quotePrefix="1" applyFont="1" applyFill="1" applyBorder="1" applyAlignment="1">
      <alignment horizontal="left"/>
    </xf>
    <xf numFmtId="0" fontId="12" fillId="4" borderId="22" xfId="4" applyFont="1" applyFill="1" applyBorder="1" applyAlignment="1"/>
    <xf numFmtId="0" fontId="12" fillId="6" borderId="19" xfId="4" applyFont="1" applyFill="1" applyBorder="1" applyAlignment="1"/>
    <xf numFmtId="0" fontId="12" fillId="6" borderId="20" xfId="4" applyFont="1" applyFill="1" applyBorder="1" applyAlignment="1"/>
    <xf numFmtId="0" fontId="12" fillId="6" borderId="21" xfId="4" applyFont="1" applyFill="1" applyBorder="1" applyAlignment="1">
      <alignment horizontal="center"/>
    </xf>
    <xf numFmtId="0" fontId="11" fillId="6" borderId="22" xfId="4" applyFont="1" applyFill="1" applyBorder="1" applyAlignment="1">
      <alignment horizontal="left"/>
    </xf>
    <xf numFmtId="0" fontId="12" fillId="7" borderId="20" xfId="4" applyFont="1" applyFill="1" applyBorder="1" applyAlignment="1"/>
    <xf numFmtId="0" fontId="12" fillId="0" borderId="0" xfId="4" applyFont="1" applyFill="1" applyBorder="1" applyAlignment="1"/>
    <xf numFmtId="0" fontId="12" fillId="0" borderId="0" xfId="4" applyFont="1" applyBorder="1" applyAlignment="1"/>
    <xf numFmtId="168" fontId="12" fillId="6" borderId="19" xfId="4" applyNumberFormat="1" applyFont="1" applyFill="1" applyBorder="1" applyAlignment="1"/>
    <xf numFmtId="8" fontId="12" fillId="4" borderId="21" xfId="4" quotePrefix="1" applyNumberFormat="1" applyFont="1" applyFill="1" applyBorder="1" applyAlignment="1">
      <alignment horizontal="center"/>
    </xf>
    <xf numFmtId="6" fontId="12" fillId="7" borderId="20" xfId="4" applyNumberFormat="1" applyFont="1" applyFill="1" applyBorder="1" applyAlignment="1">
      <alignment horizontal="centerContinuous"/>
    </xf>
    <xf numFmtId="6" fontId="12" fillId="6" borderId="21" xfId="4" applyNumberFormat="1" applyFont="1" applyFill="1" applyBorder="1" applyAlignment="1">
      <alignment horizontal="center"/>
    </xf>
    <xf numFmtId="0" fontId="11" fillId="6" borderId="19" xfId="4" applyFont="1" applyFill="1" applyBorder="1" applyAlignment="1">
      <alignment horizontal="centerContinuous"/>
    </xf>
    <xf numFmtId="0" fontId="11" fillId="6" borderId="22" xfId="4" applyFont="1" applyFill="1" applyBorder="1" applyAlignment="1">
      <alignment horizontal="centerContinuous"/>
    </xf>
    <xf numFmtId="0" fontId="11" fillId="6" borderId="21" xfId="4" applyFont="1" applyFill="1" applyBorder="1" applyAlignment="1">
      <alignment horizontal="center"/>
    </xf>
    <xf numFmtId="0" fontId="11" fillId="7" borderId="22" xfId="4" applyFont="1" applyFill="1" applyBorder="1" applyAlignment="1">
      <alignment horizontal="left"/>
    </xf>
    <xf numFmtId="0" fontId="12" fillId="0" borderId="0" xfId="4" applyFont="1" applyAlignment="1">
      <alignment wrapText="1"/>
    </xf>
    <xf numFmtId="0" fontId="12" fillId="4" borderId="23" xfId="4" applyFont="1" applyFill="1" applyBorder="1" applyAlignment="1">
      <alignment wrapText="1"/>
    </xf>
    <xf numFmtId="0" fontId="10" fillId="4" borderId="0" xfId="4" applyFill="1" applyAlignment="1"/>
    <xf numFmtId="0" fontId="10" fillId="0" borderId="0" xfId="4" applyBorder="1" applyAlignment="1"/>
    <xf numFmtId="0" fontId="12" fillId="0" borderId="0" xfId="4" applyFont="1" applyBorder="1" applyAlignment="1">
      <alignment wrapText="1"/>
    </xf>
    <xf numFmtId="0" fontId="10" fillId="0" borderId="0" xfId="4" applyFill="1" applyBorder="1" applyAlignment="1"/>
    <xf numFmtId="0" fontId="11" fillId="6" borderId="14" xfId="4" applyFont="1" applyFill="1" applyBorder="1" applyAlignment="1">
      <alignment horizontal="center" wrapText="1"/>
    </xf>
    <xf numFmtId="0" fontId="11" fillId="6" borderId="24" xfId="4" applyFont="1" applyFill="1" applyBorder="1" applyAlignment="1">
      <alignment horizontal="center" wrapText="1"/>
    </xf>
    <xf numFmtId="0" fontId="11" fillId="7" borderId="25" xfId="4" applyFont="1" applyFill="1" applyBorder="1" applyAlignment="1">
      <alignment horizontal="center" wrapText="1"/>
    </xf>
    <xf numFmtId="0" fontId="11" fillId="7" borderId="25" xfId="4" applyNumberFormat="1" applyFont="1" applyFill="1" applyBorder="1" applyAlignment="1">
      <alignment horizontal="center"/>
    </xf>
    <xf numFmtId="44" fontId="0" fillId="0" borderId="0" xfId="0" applyNumberFormat="1"/>
    <xf numFmtId="164" fontId="0" fillId="4" borderId="0" xfId="0" applyNumberFormat="1" applyFill="1"/>
    <xf numFmtId="0" fontId="11" fillId="4" borderId="0" xfId="4" applyFont="1" applyFill="1" applyAlignment="1"/>
    <xf numFmtId="0" fontId="8" fillId="0" borderId="3" xfId="0" applyFont="1" applyFill="1" applyBorder="1"/>
    <xf numFmtId="0" fontId="0" fillId="3" borderId="0" xfId="0" applyFill="1"/>
    <xf numFmtId="0" fontId="5" fillId="2" borderId="4" xfId="0" applyFont="1" applyFill="1" applyBorder="1" applyAlignment="1">
      <alignment wrapText="1"/>
    </xf>
    <xf numFmtId="0" fontId="0" fillId="2" borderId="0" xfId="0" applyFill="1"/>
    <xf numFmtId="0" fontId="13" fillId="3" borderId="10" xfId="0" applyFont="1" applyFill="1" applyBorder="1" applyAlignment="1">
      <alignment wrapText="1"/>
    </xf>
    <xf numFmtId="0" fontId="15" fillId="2" borderId="5" xfId="0" applyFont="1" applyFill="1" applyBorder="1"/>
    <xf numFmtId="0" fontId="5" fillId="2" borderId="5" xfId="0" applyFont="1" applyFill="1" applyBorder="1" applyAlignment="1">
      <alignment wrapText="1"/>
    </xf>
    <xf numFmtId="0" fontId="2" fillId="4" borderId="4" xfId="0" applyFont="1" applyFill="1" applyBorder="1"/>
    <xf numFmtId="0" fontId="0" fillId="4" borderId="4" xfId="0" applyFont="1" applyFill="1" applyBorder="1"/>
    <xf numFmtId="0" fontId="6" fillId="2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16" fillId="0" borderId="4" xfId="0" applyFont="1" applyFill="1" applyBorder="1"/>
    <xf numFmtId="0" fontId="6" fillId="0" borderId="3" xfId="0" applyFont="1" applyBorder="1"/>
    <xf numFmtId="0" fontId="5" fillId="0" borderId="4" xfId="0" applyFont="1" applyFill="1" applyBorder="1" applyAlignment="1"/>
    <xf numFmtId="0" fontId="0" fillId="4" borderId="5" xfId="0" applyFont="1" applyFill="1" applyBorder="1"/>
    <xf numFmtId="0" fontId="6" fillId="4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0" fontId="0" fillId="0" borderId="0" xfId="0" applyFont="1" applyFill="1"/>
    <xf numFmtId="0" fontId="0" fillId="4" borderId="0" xfId="0" applyFont="1" applyFill="1"/>
    <xf numFmtId="0" fontId="0" fillId="5" borderId="0" xfId="0" applyFont="1" applyFill="1"/>
    <xf numFmtId="164" fontId="6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6" fillId="0" borderId="0" xfId="0" applyNumberFormat="1" applyFont="1" applyFill="1"/>
    <xf numFmtId="164" fontId="6" fillId="0" borderId="0" xfId="1" applyNumberFormat="1" applyFont="1" applyFill="1" applyBorder="1" applyAlignment="1">
      <alignment horizontal="right"/>
    </xf>
    <xf numFmtId="0" fontId="5" fillId="4" borderId="0" xfId="0" applyFont="1" applyFill="1" applyBorder="1"/>
    <xf numFmtId="0" fontId="5" fillId="0" borderId="0" xfId="0" applyFont="1" applyFill="1" applyBorder="1"/>
    <xf numFmtId="164" fontId="6" fillId="0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0" fontId="11" fillId="6" borderId="0" xfId="4" applyFont="1" applyFill="1" applyBorder="1" applyAlignment="1">
      <alignment horizontal="centerContinuous"/>
    </xf>
    <xf numFmtId="168" fontId="12" fillId="4" borderId="0" xfId="4" applyNumberFormat="1" applyFont="1" applyFill="1" applyBorder="1" applyAlignment="1">
      <alignment horizontal="center"/>
    </xf>
    <xf numFmtId="168" fontId="12" fillId="6" borderId="0" xfId="4" applyNumberFormat="1" applyFont="1" applyFill="1" applyBorder="1" applyAlignment="1"/>
    <xf numFmtId="0" fontId="12" fillId="6" borderId="0" xfId="4" applyFont="1" applyFill="1" applyBorder="1" applyAlignment="1"/>
    <xf numFmtId="0" fontId="11" fillId="6" borderId="0" xfId="4" applyNumberFormat="1" applyFont="1" applyFill="1" applyBorder="1" applyAlignment="1">
      <alignment horizontal="centerContinuous"/>
    </xf>
    <xf numFmtId="0" fontId="17" fillId="6" borderId="0" xfId="4" applyFont="1" applyFill="1" applyBorder="1" applyAlignment="1">
      <alignment horizontal="center" wrapText="1"/>
    </xf>
    <xf numFmtId="168" fontId="18" fillId="4" borderId="0" xfId="4" applyNumberFormat="1" applyFont="1" applyFill="1" applyBorder="1" applyAlignment="1">
      <alignment horizontal="center"/>
    </xf>
    <xf numFmtId="0" fontId="7" fillId="0" borderId="3" xfId="0" applyFont="1" applyBorder="1"/>
    <xf numFmtId="0" fontId="19" fillId="4" borderId="4" xfId="0" applyFont="1" applyFill="1" applyBorder="1"/>
    <xf numFmtId="0" fontId="20" fillId="4" borderId="4" xfId="0" applyFont="1" applyFill="1" applyBorder="1"/>
    <xf numFmtId="0" fontId="7" fillId="0" borderId="4" xfId="0" applyFont="1" applyFill="1" applyBorder="1"/>
    <xf numFmtId="0" fontId="20" fillId="4" borderId="5" xfId="0" applyFont="1" applyFill="1" applyBorder="1"/>
    <xf numFmtId="0" fontId="21" fillId="3" borderId="6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wrapText="1"/>
    </xf>
    <xf numFmtId="0" fontId="21" fillId="3" borderId="10" xfId="0" applyFont="1" applyFill="1" applyBorder="1" applyAlignment="1">
      <alignment wrapText="1"/>
    </xf>
    <xf numFmtId="0" fontId="21" fillId="2" borderId="3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wrapText="1"/>
    </xf>
    <xf numFmtId="0" fontId="21" fillId="2" borderId="5" xfId="0" applyFont="1" applyFill="1" applyBorder="1" applyAlignment="1">
      <alignment wrapText="1"/>
    </xf>
    <xf numFmtId="0" fontId="20" fillId="2" borderId="5" xfId="0" applyFont="1" applyFill="1" applyBorder="1"/>
    <xf numFmtId="0" fontId="7" fillId="0" borderId="2" xfId="0" applyFont="1" applyBorder="1"/>
    <xf numFmtId="164" fontId="7" fillId="0" borderId="2" xfId="1" applyNumberFormat="1" applyFont="1" applyFill="1" applyBorder="1" applyAlignment="1">
      <alignment horizontal="center"/>
    </xf>
    <xf numFmtId="164" fontId="21" fillId="0" borderId="2" xfId="1" applyNumberFormat="1" applyFont="1" applyFill="1" applyBorder="1" applyAlignment="1">
      <alignment horizontal="center"/>
    </xf>
    <xf numFmtId="44" fontId="7" fillId="0" borderId="2" xfId="1" applyFont="1" applyFill="1" applyBorder="1" applyAlignment="1">
      <alignment horizontal="center"/>
    </xf>
    <xf numFmtId="44" fontId="7" fillId="0" borderId="2" xfId="1" applyFont="1" applyFill="1" applyBorder="1"/>
    <xf numFmtId="44" fontId="7" fillId="0" borderId="2" xfId="1" applyFont="1" applyFill="1" applyBorder="1" applyAlignment="1">
      <alignment horizontal="right"/>
    </xf>
    <xf numFmtId="44" fontId="21" fillId="0" borderId="2" xfId="0" applyNumberFormat="1" applyFont="1" applyFill="1" applyBorder="1"/>
    <xf numFmtId="44" fontId="7" fillId="0" borderId="2" xfId="0" applyNumberFormat="1" applyFont="1" applyFill="1" applyBorder="1"/>
    <xf numFmtId="0" fontId="7" fillId="0" borderId="1" xfId="0" applyFont="1" applyFill="1" applyBorder="1"/>
    <xf numFmtId="164" fontId="7" fillId="0" borderId="1" xfId="1" applyNumberFormat="1" applyFont="1" applyFill="1" applyBorder="1" applyAlignment="1">
      <alignment horizontal="center"/>
    </xf>
    <xf numFmtId="44" fontId="7" fillId="0" borderId="1" xfId="0" applyNumberFormat="1" applyFont="1" applyFill="1" applyBorder="1"/>
    <xf numFmtId="0" fontId="19" fillId="2" borderId="3" xfId="0" applyFont="1" applyFill="1" applyBorder="1"/>
    <xf numFmtId="0" fontId="7" fillId="2" borderId="2" xfId="0" applyFont="1" applyFill="1" applyBorder="1"/>
    <xf numFmtId="0" fontId="20" fillId="0" borderId="4" xfId="0" applyFont="1" applyFill="1" applyBorder="1"/>
    <xf numFmtId="164" fontId="7" fillId="2" borderId="1" xfId="1" applyNumberFormat="1" applyFont="1" applyFill="1" applyBorder="1" applyAlignment="1">
      <alignment horizontal="center"/>
    </xf>
    <xf numFmtId="164" fontId="21" fillId="2" borderId="1" xfId="1" applyNumberFormat="1" applyFont="1" applyFill="1" applyBorder="1" applyAlignment="1">
      <alignment horizontal="center"/>
    </xf>
    <xf numFmtId="0" fontId="20" fillId="2" borderId="4" xfId="0" applyFont="1" applyFill="1" applyBorder="1"/>
    <xf numFmtId="0" fontId="19" fillId="2" borderId="4" xfId="0" applyFont="1" applyFill="1" applyBorder="1"/>
    <xf numFmtId="44" fontId="7" fillId="2" borderId="26" xfId="0" applyNumberFormat="1" applyFont="1" applyFill="1" applyBorder="1"/>
    <xf numFmtId="164" fontId="7" fillId="0" borderId="2" xfId="3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21" fillId="4" borderId="0" xfId="0" applyFont="1" applyFill="1" applyAlignment="1"/>
    <xf numFmtId="0" fontId="7" fillId="4" borderId="0" xfId="0" applyFont="1" applyFill="1"/>
    <xf numFmtId="0" fontId="21" fillId="4" borderId="0" xfId="0" applyFont="1" applyFill="1"/>
    <xf numFmtId="0" fontId="22" fillId="0" borderId="0" xfId="0" applyFont="1" applyFill="1"/>
    <xf numFmtId="0" fontId="22" fillId="0" borderId="0" xfId="0" applyFont="1"/>
    <xf numFmtId="0" fontId="22" fillId="3" borderId="0" xfId="0" applyFont="1" applyFill="1"/>
    <xf numFmtId="0" fontId="22" fillId="2" borderId="0" xfId="0" applyFont="1" applyFill="1"/>
    <xf numFmtId="0" fontId="7" fillId="0" borderId="1" xfId="0" applyFont="1" applyBorder="1"/>
    <xf numFmtId="0" fontId="7" fillId="0" borderId="1" xfId="3" applyFont="1" applyFill="1" applyBorder="1"/>
    <xf numFmtId="0" fontId="7" fillId="5" borderId="1" xfId="0" applyFont="1" applyFill="1" applyBorder="1"/>
    <xf numFmtId="44" fontId="7" fillId="0" borderId="1" xfId="1" applyFont="1" applyFill="1" applyBorder="1" applyAlignment="1">
      <alignment horizontal="center"/>
    </xf>
    <xf numFmtId="44" fontId="7" fillId="0" borderId="1" xfId="1" applyFont="1" applyFill="1" applyBorder="1"/>
    <xf numFmtId="44" fontId="7" fillId="0" borderId="1" xfId="1" applyFont="1" applyFill="1" applyBorder="1" applyAlignment="1">
      <alignment horizontal="right"/>
    </xf>
    <xf numFmtId="44" fontId="21" fillId="0" borderId="1" xfId="0" applyNumberFormat="1" applyFont="1" applyFill="1" applyBorder="1"/>
    <xf numFmtId="164" fontId="7" fillId="0" borderId="1" xfId="3" applyNumberFormat="1" applyFont="1" applyFill="1" applyBorder="1" applyAlignment="1">
      <alignment horizontal="center"/>
    </xf>
    <xf numFmtId="44" fontId="21" fillId="0" borderId="1" xfId="0" applyNumberFormat="1" applyFont="1" applyBorder="1"/>
    <xf numFmtId="44" fontId="7" fillId="0" borderId="1" xfId="0" applyNumberFormat="1" applyFont="1" applyBorder="1"/>
    <xf numFmtId="164" fontId="7" fillId="0" borderId="1" xfId="3" applyNumberFormat="1" applyFont="1" applyBorder="1" applyAlignment="1">
      <alignment horizontal="center"/>
    </xf>
    <xf numFmtId="44" fontId="7" fillId="0" borderId="6" xfId="0" applyNumberFormat="1" applyFont="1" applyFill="1" applyBorder="1"/>
    <xf numFmtId="164" fontId="20" fillId="0" borderId="26" xfId="0" applyNumberFormat="1" applyFont="1" applyFill="1" applyBorder="1"/>
    <xf numFmtId="0" fontId="20" fillId="0" borderId="0" xfId="0" applyFont="1" applyFill="1"/>
    <xf numFmtId="0" fontId="21" fillId="2" borderId="3" xfId="0" applyFont="1" applyFill="1" applyBorder="1" applyAlignment="1">
      <alignment horizontal="left" wrapText="1"/>
    </xf>
    <xf numFmtId="0" fontId="19" fillId="4" borderId="3" xfId="0" applyFont="1" applyFill="1" applyBorder="1"/>
    <xf numFmtId="0" fontId="19" fillId="0" borderId="4" xfId="0" applyFont="1" applyFill="1" applyBorder="1"/>
    <xf numFmtId="0" fontId="19" fillId="4" borderId="5" xfId="0" applyFont="1" applyFill="1" applyBorder="1"/>
    <xf numFmtId="0" fontId="7" fillId="0" borderId="5" xfId="0" applyFont="1" applyFill="1" applyBorder="1"/>
    <xf numFmtId="0" fontId="19" fillId="0" borderId="5" xfId="0" applyFont="1" applyFill="1" applyBorder="1"/>
    <xf numFmtId="0" fontId="21" fillId="3" borderId="7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wrapText="1"/>
    </xf>
    <xf numFmtId="0" fontId="21" fillId="0" borderId="4" xfId="0" applyFont="1" applyFill="1" applyBorder="1" applyAlignment="1">
      <alignment horizontal="center" wrapText="1"/>
    </xf>
    <xf numFmtId="164" fontId="21" fillId="0" borderId="1" xfId="1" applyNumberFormat="1" applyFont="1" applyFill="1" applyBorder="1" applyAlignment="1">
      <alignment horizontal="center"/>
    </xf>
    <xf numFmtId="0" fontId="7" fillId="0" borderId="2" xfId="0" applyFont="1" applyFill="1" applyBorder="1"/>
    <xf numFmtId="0" fontId="21" fillId="0" borderId="1" xfId="0" applyFont="1" applyFill="1" applyBorder="1"/>
    <xf numFmtId="0" fontId="21" fillId="3" borderId="27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/>
    <xf numFmtId="0" fontId="23" fillId="0" borderId="4" xfId="0" applyFont="1" applyFill="1" applyBorder="1"/>
    <xf numFmtId="164" fontId="3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23" fillId="2" borderId="4" xfId="0" applyFont="1" applyFill="1" applyBorder="1"/>
    <xf numFmtId="0" fontId="24" fillId="2" borderId="4" xfId="0" applyFont="1" applyFill="1" applyBorder="1"/>
    <xf numFmtId="164" fontId="23" fillId="2" borderId="4" xfId="0" applyNumberFormat="1" applyFont="1" applyFill="1" applyBorder="1"/>
    <xf numFmtId="0" fontId="23" fillId="2" borderId="5" xfId="0" applyFont="1" applyFill="1" applyBorder="1"/>
    <xf numFmtId="0" fontId="24" fillId="2" borderId="3" xfId="0" applyFont="1" applyFill="1" applyBorder="1"/>
    <xf numFmtId="0" fontId="3" fillId="0" borderId="11" xfId="0" applyFont="1" applyFill="1" applyBorder="1"/>
    <xf numFmtId="164" fontId="3" fillId="0" borderId="9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44" fontId="3" fillId="0" borderId="8" xfId="1" applyFont="1" applyFill="1" applyBorder="1" applyAlignment="1">
      <alignment horizontal="center"/>
    </xf>
    <xf numFmtId="44" fontId="3" fillId="0" borderId="8" xfId="1" applyFont="1" applyFill="1" applyBorder="1"/>
    <xf numFmtId="44" fontId="3" fillId="0" borderId="8" xfId="1" applyFont="1" applyFill="1" applyBorder="1" applyAlignment="1">
      <alignment horizontal="right"/>
    </xf>
    <xf numFmtId="44" fontId="4" fillId="0" borderId="8" xfId="0" applyNumberFormat="1" applyFont="1" applyFill="1" applyBorder="1"/>
    <xf numFmtId="164" fontId="3" fillId="0" borderId="8" xfId="0" applyNumberFormat="1" applyFont="1" applyFill="1" applyBorder="1"/>
    <xf numFmtId="44" fontId="3" fillId="0" borderId="5" xfId="0" applyNumberFormat="1" applyFont="1" applyFill="1" applyBorder="1"/>
    <xf numFmtId="0" fontId="24" fillId="2" borderId="3" xfId="0" applyFont="1" applyFill="1" applyBorder="1" applyAlignment="1"/>
    <xf numFmtId="0" fontId="3" fillId="2" borderId="4" xfId="0" applyFont="1" applyFill="1" applyBorder="1"/>
    <xf numFmtId="0" fontId="23" fillId="0" borderId="4" xfId="0" applyFont="1" applyFill="1" applyBorder="1" applyAlignment="1">
      <alignment horizontal="left"/>
    </xf>
    <xf numFmtId="164" fontId="3" fillId="2" borderId="4" xfId="1" applyNumberFormat="1" applyFont="1" applyFill="1" applyBorder="1" applyAlignment="1">
      <alignment horizontal="left"/>
    </xf>
    <xf numFmtId="164" fontId="4" fillId="2" borderId="4" xfId="1" applyNumberFormat="1" applyFont="1" applyFill="1" applyBorder="1" applyAlignment="1">
      <alignment horizontal="left"/>
    </xf>
    <xf numFmtId="0" fontId="3" fillId="0" borderId="3" xfId="0" applyFont="1" applyFill="1" applyBorder="1"/>
    <xf numFmtId="44" fontId="3" fillId="0" borderId="10" xfId="0" applyNumberFormat="1" applyFont="1" applyFill="1" applyBorder="1"/>
    <xf numFmtId="0" fontId="24" fillId="2" borderId="3" xfId="0" applyFont="1" applyFill="1" applyBorder="1" applyAlignment="1">
      <alignment horizontal="left"/>
    </xf>
    <xf numFmtId="164" fontId="3" fillId="2" borderId="4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wrapText="1"/>
    </xf>
    <xf numFmtId="0" fontId="15" fillId="0" borderId="4" xfId="0" applyFont="1" applyFill="1" applyBorder="1"/>
    <xf numFmtId="0" fontId="13" fillId="4" borderId="4" xfId="0" applyFont="1" applyFill="1" applyBorder="1" applyAlignment="1"/>
    <xf numFmtId="0" fontId="14" fillId="4" borderId="4" xfId="0" applyFont="1" applyFill="1" applyBorder="1"/>
    <xf numFmtId="0" fontId="13" fillId="4" borderId="4" xfId="0" applyFont="1" applyFill="1" applyBorder="1"/>
    <xf numFmtId="0" fontId="15" fillId="0" borderId="5" xfId="0" applyFont="1" applyFill="1" applyBorder="1"/>
    <xf numFmtId="0" fontId="13" fillId="2" borderId="3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wrapText="1"/>
    </xf>
    <xf numFmtId="0" fontId="13" fillId="2" borderId="5" xfId="0" applyFont="1" applyFill="1" applyBorder="1" applyAlignment="1">
      <alignment wrapText="1"/>
    </xf>
    <xf numFmtId="0" fontId="14" fillId="0" borderId="2" xfId="0" applyFont="1" applyBorder="1"/>
    <xf numFmtId="0" fontId="14" fillId="0" borderId="1" xfId="0" applyFont="1" applyBorder="1"/>
    <xf numFmtId="164" fontId="14" fillId="0" borderId="2" xfId="1" applyNumberFormat="1" applyFont="1" applyFill="1" applyBorder="1" applyAlignment="1">
      <alignment horizontal="center"/>
    </xf>
    <xf numFmtId="44" fontId="14" fillId="0" borderId="2" xfId="1" applyFont="1" applyFill="1" applyBorder="1" applyAlignment="1">
      <alignment horizontal="center"/>
    </xf>
    <xf numFmtId="44" fontId="13" fillId="0" borderId="2" xfId="1" applyFont="1" applyFill="1" applyBorder="1" applyAlignment="1">
      <alignment horizontal="center"/>
    </xf>
    <xf numFmtId="44" fontId="14" fillId="0" borderId="2" xfId="1" applyFont="1" applyFill="1" applyBorder="1"/>
    <xf numFmtId="44" fontId="14" fillId="0" borderId="2" xfId="1" applyFont="1" applyFill="1" applyBorder="1" applyAlignment="1">
      <alignment horizontal="right"/>
    </xf>
    <xf numFmtId="44" fontId="13" fillId="0" borderId="2" xfId="0" applyNumberFormat="1" applyFont="1" applyFill="1" applyBorder="1"/>
    <xf numFmtId="44" fontId="14" fillId="0" borderId="2" xfId="0" applyNumberFormat="1" applyFont="1" applyFill="1" applyBorder="1"/>
    <xf numFmtId="164" fontId="15" fillId="0" borderId="26" xfId="0" applyNumberFormat="1" applyFont="1" applyFill="1" applyBorder="1"/>
    <xf numFmtId="0" fontId="14" fillId="0" borderId="1" xfId="0" applyFont="1" applyFill="1" applyBorder="1"/>
    <xf numFmtId="164" fontId="14" fillId="0" borderId="1" xfId="1" applyNumberFormat="1" applyFont="1" applyFill="1" applyBorder="1" applyAlignment="1">
      <alignment horizontal="center"/>
    </xf>
    <xf numFmtId="0" fontId="14" fillId="0" borderId="1" xfId="3" applyFont="1" applyFill="1" applyBorder="1"/>
    <xf numFmtId="44" fontId="14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44" fontId="14" fillId="0" borderId="1" xfId="1" applyFont="1" applyFill="1" applyBorder="1"/>
    <xf numFmtId="44" fontId="14" fillId="0" borderId="1" xfId="1" applyFont="1" applyFill="1" applyBorder="1" applyAlignment="1">
      <alignment horizontal="right"/>
    </xf>
    <xf numFmtId="44" fontId="13" fillId="0" borderId="1" xfId="0" applyNumberFormat="1" applyFont="1" applyFill="1" applyBorder="1"/>
    <xf numFmtId="44" fontId="14" fillId="0" borderId="1" xfId="0" applyNumberFormat="1" applyFont="1" applyFill="1" applyBorder="1"/>
    <xf numFmtId="164" fontId="15" fillId="0" borderId="5" xfId="0" applyNumberFormat="1" applyFont="1" applyFill="1" applyBorder="1"/>
    <xf numFmtId="164" fontId="14" fillId="0" borderId="1" xfId="3" applyNumberFormat="1" applyFont="1" applyFill="1" applyBorder="1" applyAlignment="1">
      <alignment horizontal="center"/>
    </xf>
    <xf numFmtId="44" fontId="14" fillId="0" borderId="6" xfId="1" applyFont="1" applyFill="1" applyBorder="1" applyAlignment="1">
      <alignment horizontal="center"/>
    </xf>
    <xf numFmtId="164" fontId="15" fillId="0" borderId="10" xfId="0" applyNumberFormat="1" applyFont="1" applyFill="1" applyBorder="1"/>
    <xf numFmtId="44" fontId="13" fillId="0" borderId="1" xfId="0" applyNumberFormat="1" applyFont="1" applyBorder="1"/>
    <xf numFmtId="44" fontId="14" fillId="0" borderId="1" xfId="0" applyNumberFormat="1" applyFont="1" applyBorder="1"/>
    <xf numFmtId="164" fontId="15" fillId="0" borderId="1" xfId="0" applyNumberFormat="1" applyFont="1" applyBorder="1"/>
    <xf numFmtId="44" fontId="14" fillId="0" borderId="6" xfId="0" applyNumberFormat="1" applyFont="1" applyFill="1" applyBorder="1"/>
    <xf numFmtId="2" fontId="14" fillId="0" borderId="1" xfId="0" applyNumberFormat="1" applyFont="1" applyBorder="1"/>
    <xf numFmtId="0" fontId="14" fillId="0" borderId="2" xfId="0" applyFont="1" applyFill="1" applyBorder="1"/>
    <xf numFmtId="0" fontId="25" fillId="2" borderId="3" xfId="0" applyFont="1" applyFill="1" applyBorder="1"/>
    <xf numFmtId="0" fontId="15" fillId="2" borderId="4" xfId="0" applyFont="1" applyFill="1" applyBorder="1"/>
    <xf numFmtId="44" fontId="14" fillId="2" borderId="4" xfId="1" applyFont="1" applyFill="1" applyBorder="1" applyAlignment="1">
      <alignment horizontal="center"/>
    </xf>
    <xf numFmtId="0" fontId="25" fillId="2" borderId="4" xfId="0" applyFont="1" applyFill="1" applyBorder="1"/>
    <xf numFmtId="44" fontId="15" fillId="2" borderId="4" xfId="0" applyNumberFormat="1" applyFont="1" applyFill="1" applyBorder="1"/>
    <xf numFmtId="164" fontId="15" fillId="2" borderId="5" xfId="0" applyNumberFormat="1" applyFont="1" applyFill="1" applyBorder="1"/>
    <xf numFmtId="0" fontId="8" fillId="2" borderId="3" xfId="0" applyFont="1" applyFill="1" applyBorder="1"/>
    <xf numFmtId="0" fontId="26" fillId="2" borderId="4" xfId="0" applyFont="1" applyFill="1" applyBorder="1"/>
    <xf numFmtId="164" fontId="26" fillId="2" borderId="4" xfId="1" applyNumberFormat="1" applyFont="1" applyFill="1" applyBorder="1" applyAlignment="1">
      <alignment horizontal="center"/>
    </xf>
    <xf numFmtId="44" fontId="26" fillId="2" borderId="4" xfId="1" applyFont="1" applyFill="1" applyBorder="1" applyAlignment="1">
      <alignment horizontal="center"/>
    </xf>
    <xf numFmtId="44" fontId="8" fillId="2" borderId="4" xfId="1" applyFont="1" applyFill="1" applyBorder="1" applyAlignment="1">
      <alignment horizontal="center"/>
    </xf>
    <xf numFmtId="44" fontId="28" fillId="2" borderId="4" xfId="0" applyNumberFormat="1" applyFont="1" applyFill="1" applyBorder="1"/>
    <xf numFmtId="0" fontId="0" fillId="2" borderId="5" xfId="0" applyFill="1" applyBorder="1"/>
    <xf numFmtId="0" fontId="3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44" fontId="26" fillId="2" borderId="4" xfId="1" applyFont="1" applyFill="1" applyBorder="1"/>
    <xf numFmtId="44" fontId="26" fillId="2" borderId="4" xfId="1" applyFont="1" applyFill="1" applyBorder="1" applyAlignment="1">
      <alignment horizontal="right"/>
    </xf>
    <xf numFmtId="2" fontId="28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/>
    <xf numFmtId="8" fontId="7" fillId="0" borderId="1" xfId="0" applyNumberFormat="1" applyFont="1" applyBorder="1" applyAlignment="1">
      <alignment horizontal="center"/>
    </xf>
    <xf numFmtId="8" fontId="21" fillId="0" borderId="1" xfId="0" applyNumberFormat="1" applyFont="1" applyFill="1" applyBorder="1"/>
    <xf numFmtId="44" fontId="27" fillId="2" borderId="4" xfId="0" applyNumberFormat="1" applyFont="1" applyFill="1" applyBorder="1"/>
    <xf numFmtId="0" fontId="4" fillId="2" borderId="4" xfId="0" applyFont="1" applyFill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0" fontId="29" fillId="0" borderId="2" xfId="0" applyFont="1" applyBorder="1"/>
    <xf numFmtId="8" fontId="14" fillId="0" borderId="1" xfId="0" applyNumberFormat="1" applyFont="1" applyBorder="1" applyAlignment="1">
      <alignment horizontal="center"/>
    </xf>
    <xf numFmtId="8" fontId="13" fillId="0" borderId="1" xfId="0" applyNumberFormat="1" applyFont="1" applyBorder="1"/>
    <xf numFmtId="8" fontId="13" fillId="0" borderId="1" xfId="0" applyNumberFormat="1" applyFont="1" applyFill="1" applyBorder="1"/>
    <xf numFmtId="0" fontId="29" fillId="0" borderId="1" xfId="0" applyFont="1" applyBorder="1"/>
    <xf numFmtId="167" fontId="14" fillId="0" borderId="1" xfId="0" applyNumberFormat="1" applyFont="1" applyBorder="1" applyAlignment="1">
      <alignment horizontal="center"/>
    </xf>
    <xf numFmtId="166" fontId="14" fillId="0" borderId="1" xfId="1" applyNumberFormat="1" applyFont="1" applyFill="1" applyBorder="1"/>
    <xf numFmtId="164" fontId="13" fillId="0" borderId="2" xfId="1" applyNumberFormat="1" applyFont="1" applyFill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/>
    </xf>
    <xf numFmtId="0" fontId="14" fillId="5" borderId="1" xfId="0" applyFont="1" applyFill="1" applyBorder="1"/>
    <xf numFmtId="164" fontId="13" fillId="0" borderId="1" xfId="3" applyNumberFormat="1" applyFont="1" applyFill="1" applyBorder="1" applyAlignment="1">
      <alignment horizontal="center"/>
    </xf>
    <xf numFmtId="164" fontId="29" fillId="0" borderId="2" xfId="0" applyNumberFormat="1" applyFont="1" applyBorder="1"/>
    <xf numFmtId="164" fontId="14" fillId="0" borderId="1" xfId="3" applyNumberFormat="1" applyFont="1" applyBorder="1" applyAlignment="1">
      <alignment horizontal="center"/>
    </xf>
    <xf numFmtId="164" fontId="13" fillId="0" borderId="1" xfId="3" applyNumberFormat="1" applyFont="1" applyBorder="1" applyAlignment="1">
      <alignment horizontal="center"/>
    </xf>
    <xf numFmtId="44" fontId="14" fillId="0" borderId="6" xfId="0" applyNumberFormat="1" applyFont="1" applyBorder="1"/>
    <xf numFmtId="164" fontId="29" fillId="0" borderId="2" xfId="0" applyNumberFormat="1" applyFont="1" applyFill="1" applyBorder="1"/>
    <xf numFmtId="0" fontId="30" fillId="5" borderId="3" xfId="0" applyFont="1" applyFill="1" applyBorder="1"/>
    <xf numFmtId="0" fontId="31" fillId="0" borderId="4" xfId="0" applyFont="1" applyFill="1" applyBorder="1"/>
    <xf numFmtId="164" fontId="31" fillId="0" borderId="4" xfId="1" applyNumberFormat="1" applyFont="1" applyFill="1" applyBorder="1" applyAlignment="1">
      <alignment horizontal="center"/>
    </xf>
    <xf numFmtId="44" fontId="31" fillId="0" borderId="4" xfId="1" applyFont="1" applyFill="1" applyBorder="1" applyAlignment="1">
      <alignment horizontal="center"/>
    </xf>
    <xf numFmtId="44" fontId="30" fillId="0" borderId="4" xfId="1" applyFont="1" applyFill="1" applyBorder="1" applyAlignment="1">
      <alignment horizontal="center"/>
    </xf>
    <xf numFmtId="44" fontId="31" fillId="0" borderId="4" xfId="1" applyFont="1" applyFill="1" applyBorder="1"/>
    <xf numFmtId="44" fontId="31" fillId="0" borderId="4" xfId="1" applyFont="1" applyFill="1" applyBorder="1" applyAlignment="1">
      <alignment horizontal="right"/>
    </xf>
    <xf numFmtId="44" fontId="30" fillId="0" borderId="4" xfId="0" applyNumberFormat="1" applyFont="1" applyFill="1" applyBorder="1"/>
    <xf numFmtId="2" fontId="31" fillId="0" borderId="4" xfId="0" applyNumberFormat="1" applyFont="1" applyFill="1" applyBorder="1"/>
    <xf numFmtId="44" fontId="31" fillId="0" borderId="4" xfId="0" applyNumberFormat="1" applyFont="1" applyFill="1" applyBorder="1"/>
    <xf numFmtId="0" fontId="29" fillId="0" borderId="5" xfId="0" applyFont="1" applyFill="1" applyBorder="1"/>
    <xf numFmtId="8" fontId="1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/>
    <xf numFmtId="0" fontId="29" fillId="0" borderId="2" xfId="0" applyFont="1" applyFill="1" applyBorder="1"/>
    <xf numFmtId="8" fontId="13" fillId="0" borderId="1" xfId="0" applyNumberFormat="1" applyFont="1" applyFill="1" applyBorder="1" applyAlignment="1"/>
    <xf numFmtId="0" fontId="29" fillId="0" borderId="1" xfId="0" applyFont="1" applyFill="1" applyBorder="1"/>
    <xf numFmtId="167" fontId="14" fillId="0" borderId="1" xfId="0" applyNumberFormat="1" applyFont="1" applyFill="1" applyBorder="1" applyAlignment="1">
      <alignment horizontal="center"/>
    </xf>
    <xf numFmtId="0" fontId="14" fillId="5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Border="1"/>
    <xf numFmtId="0" fontId="13" fillId="0" borderId="0" xfId="0" applyFont="1" applyFill="1"/>
    <xf numFmtId="0" fontId="29" fillId="0" borderId="0" xfId="0" applyFont="1" applyFill="1"/>
    <xf numFmtId="0" fontId="13" fillId="5" borderId="0" xfId="0" applyFont="1" applyFill="1"/>
    <xf numFmtId="164" fontId="29" fillId="0" borderId="1" xfId="0" applyNumberFormat="1" applyFont="1" applyFill="1" applyBorder="1"/>
    <xf numFmtId="164" fontId="29" fillId="0" borderId="1" xfId="0" applyNumberFormat="1" applyFont="1" applyBorder="1"/>
    <xf numFmtId="0" fontId="14" fillId="0" borderId="2" xfId="0" applyFont="1" applyFill="1" applyBorder="1" applyAlignment="1">
      <alignment horizontal="center"/>
    </xf>
    <xf numFmtId="44" fontId="14" fillId="0" borderId="26" xfId="0" applyNumberFormat="1" applyFont="1" applyFill="1" applyBorder="1"/>
    <xf numFmtId="164" fontId="14" fillId="0" borderId="2" xfId="3" applyNumberFormat="1" applyFont="1" applyFill="1" applyBorder="1" applyAlignment="1">
      <alignment horizontal="center"/>
    </xf>
    <xf numFmtId="164" fontId="7" fillId="0" borderId="2" xfId="0" applyNumberFormat="1" applyFont="1" applyFill="1" applyBorder="1"/>
    <xf numFmtId="2" fontId="7" fillId="0" borderId="1" xfId="0" applyNumberFormat="1" applyFont="1" applyBorder="1"/>
    <xf numFmtId="0" fontId="7" fillId="0" borderId="6" xfId="0" applyFont="1" applyFill="1" applyBorder="1"/>
    <xf numFmtId="0" fontId="7" fillId="0" borderId="7" xfId="0" applyFont="1" applyFill="1" applyBorder="1"/>
    <xf numFmtId="164" fontId="7" fillId="0" borderId="6" xfId="1" applyNumberFormat="1" applyFont="1" applyFill="1" applyBorder="1" applyAlignment="1">
      <alignment horizontal="center"/>
    </xf>
    <xf numFmtId="8" fontId="21" fillId="0" borderId="1" xfId="0" applyNumberFormat="1" applyFont="1" applyFill="1" applyBorder="1" applyAlignment="1">
      <alignment horizontal="center"/>
    </xf>
    <xf numFmtId="8" fontId="7" fillId="0" borderId="1" xfId="0" applyNumberFormat="1" applyFont="1" applyBorder="1"/>
    <xf numFmtId="0" fontId="13" fillId="3" borderId="7" xfId="0" applyFont="1" applyFill="1" applyBorder="1" applyAlignment="1">
      <alignment horizontal="center" wrapText="1"/>
    </xf>
    <xf numFmtId="0" fontId="22" fillId="0" borderId="5" xfId="0" applyFont="1" applyBorder="1"/>
    <xf numFmtId="0" fontId="13" fillId="3" borderId="7" xfId="0" applyFont="1" applyFill="1" applyBorder="1" applyAlignment="1">
      <alignment wrapText="1"/>
    </xf>
    <xf numFmtId="0" fontId="22" fillId="0" borderId="3" xfId="0" applyFont="1" applyBorder="1"/>
    <xf numFmtId="0" fontId="16" fillId="4" borderId="4" xfId="0" applyFont="1" applyFill="1" applyBorder="1"/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/>
    <xf numFmtId="0" fontId="5" fillId="4" borderId="0" xfId="0" applyFont="1" applyFill="1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432FCB7A-30A6-48C0-A032-03399D40A9D8}"/>
    <cellStyle name="Percent" xfId="2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A27E4-E345-4393-BF44-B6E3C623B701}">
  <dimension ref="A1:P50"/>
  <sheetViews>
    <sheetView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2" sqref="A2:M49"/>
    </sheetView>
  </sheetViews>
  <sheetFormatPr defaultRowHeight="15.75" x14ac:dyDescent="0.25"/>
  <cols>
    <col min="1" max="1" width="60.140625" style="159" customWidth="1"/>
    <col min="2" max="2" width="16" style="159" customWidth="1"/>
    <col min="3" max="3" width="16" style="158" customWidth="1"/>
    <col min="4" max="4" width="16" style="158" hidden="1" customWidth="1"/>
    <col min="5" max="7" width="16" style="158" customWidth="1"/>
    <col min="8" max="11" width="16" style="158" hidden="1" customWidth="1"/>
    <col min="12" max="13" width="16" style="158" customWidth="1"/>
    <col min="14" max="14" width="16" style="159" customWidth="1"/>
    <col min="15" max="16" width="16" customWidth="1"/>
  </cols>
  <sheetData>
    <row r="1" spans="1:14" x14ac:dyDescent="0.25">
      <c r="A1" s="9"/>
      <c r="B1" s="9"/>
      <c r="C1" s="154"/>
      <c r="D1" s="155"/>
      <c r="E1" s="155"/>
      <c r="F1" s="155"/>
      <c r="G1" s="155"/>
      <c r="H1" s="156"/>
      <c r="I1" s="9"/>
      <c r="J1" s="157"/>
      <c r="K1" s="156"/>
      <c r="L1" s="156"/>
      <c r="M1" s="175"/>
    </row>
    <row r="2" spans="1:14" ht="15.75" customHeight="1" x14ac:dyDescent="0.25">
      <c r="A2" s="347"/>
      <c r="B2" s="122" t="s">
        <v>81</v>
      </c>
      <c r="C2" s="223"/>
      <c r="D2" s="223"/>
      <c r="E2" s="224"/>
      <c r="F2" s="224"/>
      <c r="G2" s="225"/>
      <c r="H2" s="225"/>
      <c r="I2" s="226"/>
      <c r="J2" s="225"/>
      <c r="K2" s="225"/>
      <c r="L2" s="227"/>
      <c r="M2" s="345"/>
      <c r="N2"/>
    </row>
    <row r="3" spans="1:14" s="83" customFormat="1" ht="53.25" customHeight="1" x14ac:dyDescent="0.25">
      <c r="A3" s="344" t="s">
        <v>0</v>
      </c>
      <c r="B3" s="344" t="s">
        <v>32</v>
      </c>
      <c r="C3" s="344" t="s">
        <v>79</v>
      </c>
      <c r="D3" s="344" t="s">
        <v>1</v>
      </c>
      <c r="E3" s="344" t="s">
        <v>92</v>
      </c>
      <c r="F3" s="344" t="s">
        <v>83</v>
      </c>
      <c r="G3" s="344" t="s">
        <v>38</v>
      </c>
      <c r="H3" s="346" t="s">
        <v>2</v>
      </c>
      <c r="I3" s="346" t="s">
        <v>3</v>
      </c>
      <c r="J3" s="346" t="s">
        <v>84</v>
      </c>
      <c r="K3" s="346" t="s">
        <v>85</v>
      </c>
      <c r="L3" s="346" t="s">
        <v>80</v>
      </c>
      <c r="M3" s="86" t="s">
        <v>58</v>
      </c>
      <c r="N3" s="160"/>
    </row>
    <row r="4" spans="1:14" s="85" customFormat="1" ht="15" customHeight="1" x14ac:dyDescent="0.25">
      <c r="A4" s="228" t="s">
        <v>53</v>
      </c>
      <c r="B4" s="229"/>
      <c r="C4" s="229"/>
      <c r="D4" s="229"/>
      <c r="E4" s="229"/>
      <c r="F4" s="229"/>
      <c r="G4" s="229"/>
      <c r="H4" s="230"/>
      <c r="I4" s="230"/>
      <c r="J4" s="230"/>
      <c r="K4" s="230"/>
      <c r="L4" s="231"/>
      <c r="M4" s="87"/>
      <c r="N4" s="161"/>
    </row>
    <row r="5" spans="1:14" ht="15.95" customHeight="1" x14ac:dyDescent="0.25">
      <c r="A5" s="232" t="s">
        <v>18</v>
      </c>
      <c r="B5" s="233" t="s">
        <v>51</v>
      </c>
      <c r="C5" s="234">
        <v>228</v>
      </c>
      <c r="D5" s="235">
        <f>ROUND(C5*12,2)</f>
        <v>2736</v>
      </c>
      <c r="E5" s="235">
        <f>ROUND(D5/26,2)</f>
        <v>105.23</v>
      </c>
      <c r="F5" s="235">
        <f>ROUND(0.77*E5,2)</f>
        <v>81.03</v>
      </c>
      <c r="G5" s="236">
        <f>ROUND(0.23*E5,2)</f>
        <v>24.2</v>
      </c>
      <c r="H5" s="237">
        <f>ROUND(D5*0.23,2)</f>
        <v>629.28</v>
      </c>
      <c r="I5" s="238">
        <f>ROUND(D5-H5,2)</f>
        <v>2106.7199999999998</v>
      </c>
      <c r="J5" s="239">
        <f>H5/26</f>
        <v>24.203076923076921</v>
      </c>
      <c r="K5" s="240">
        <v>24.309230769230769</v>
      </c>
      <c r="L5" s="240">
        <f>J5-K5</f>
        <v>-0.10615384615384826</v>
      </c>
      <c r="M5" s="241">
        <f>ROUND(C5*1.02,2)</f>
        <v>232.56</v>
      </c>
    </row>
    <row r="6" spans="1:14" ht="15.95" customHeight="1" x14ac:dyDescent="0.25">
      <c r="A6" s="242" t="s">
        <v>19</v>
      </c>
      <c r="B6" s="233" t="s">
        <v>51</v>
      </c>
      <c r="C6" s="243">
        <v>524.73</v>
      </c>
      <c r="D6" s="235">
        <f t="shared" ref="D6:D11" si="0">ROUND(C6*12,2)</f>
        <v>6296.76</v>
      </c>
      <c r="E6" s="235">
        <f t="shared" ref="E6:E11" si="1">ROUND(D6/26,2)</f>
        <v>242.18</v>
      </c>
      <c r="F6" s="235">
        <f t="shared" ref="F6:F11" si="2">ROUND(0.77*E6,2)</f>
        <v>186.48</v>
      </c>
      <c r="G6" s="236">
        <f t="shared" ref="G6:G11" si="3">ROUND(0.23*E6,2)</f>
        <v>55.7</v>
      </c>
      <c r="H6" s="237">
        <f t="shared" ref="H6:H11" si="4">ROUND(D6*0.23,2)</f>
        <v>1448.25</v>
      </c>
      <c r="I6" s="238">
        <f t="shared" ref="I6:I11" si="5">ROUND(D6-H6,2)</f>
        <v>4848.51</v>
      </c>
      <c r="J6" s="239">
        <f t="shared" ref="J6:J16" si="6">H6/26</f>
        <v>55.70192307692308</v>
      </c>
      <c r="K6" s="240">
        <v>58.623461538461541</v>
      </c>
      <c r="L6" s="240">
        <f t="shared" ref="L6:L16" si="7">J6-K6</f>
        <v>-2.9215384615384608</v>
      </c>
      <c r="M6" s="241">
        <f t="shared" ref="M6:M11" si="8">ROUND(C6*1.02,2)</f>
        <v>535.22</v>
      </c>
    </row>
    <row r="7" spans="1:14" ht="15.95" customHeight="1" x14ac:dyDescent="0.25">
      <c r="A7" s="244" t="s">
        <v>20</v>
      </c>
      <c r="B7" s="233" t="s">
        <v>51</v>
      </c>
      <c r="C7" s="243">
        <v>305.64</v>
      </c>
      <c r="D7" s="235">
        <f t="shared" si="0"/>
        <v>3667.68</v>
      </c>
      <c r="E7" s="235">
        <f t="shared" si="1"/>
        <v>141.06</v>
      </c>
      <c r="F7" s="235">
        <f t="shared" si="2"/>
        <v>108.62</v>
      </c>
      <c r="G7" s="236">
        <f t="shared" si="3"/>
        <v>32.44</v>
      </c>
      <c r="H7" s="237">
        <f t="shared" si="4"/>
        <v>843.57</v>
      </c>
      <c r="I7" s="238">
        <f t="shared" si="5"/>
        <v>2824.11</v>
      </c>
      <c r="J7" s="239">
        <f t="shared" si="6"/>
        <v>32.445</v>
      </c>
      <c r="K7" s="240">
        <v>33.589230769230774</v>
      </c>
      <c r="L7" s="240">
        <f t="shared" si="7"/>
        <v>-1.1442307692307736</v>
      </c>
      <c r="M7" s="241">
        <f t="shared" si="8"/>
        <v>311.75</v>
      </c>
    </row>
    <row r="8" spans="1:14" ht="15.95" customHeight="1" x14ac:dyDescent="0.25">
      <c r="A8" s="242" t="s">
        <v>21</v>
      </c>
      <c r="B8" s="233" t="s">
        <v>51</v>
      </c>
      <c r="C8" s="243">
        <v>715.44</v>
      </c>
      <c r="D8" s="235">
        <f t="shared" si="0"/>
        <v>8585.2800000000007</v>
      </c>
      <c r="E8" s="235">
        <f t="shared" si="1"/>
        <v>330.2</v>
      </c>
      <c r="F8" s="235">
        <f t="shared" si="2"/>
        <v>254.25</v>
      </c>
      <c r="G8" s="236">
        <f t="shared" si="3"/>
        <v>75.95</v>
      </c>
      <c r="H8" s="237">
        <f t="shared" si="4"/>
        <v>1974.61</v>
      </c>
      <c r="I8" s="238">
        <f t="shared" si="5"/>
        <v>6610.67</v>
      </c>
      <c r="J8" s="239">
        <f t="shared" si="6"/>
        <v>75.946538461538452</v>
      </c>
      <c r="K8" s="240">
        <v>70.061538461538461</v>
      </c>
      <c r="L8" s="240">
        <f t="shared" si="7"/>
        <v>5.8849999999999909</v>
      </c>
      <c r="M8" s="241">
        <f t="shared" si="8"/>
        <v>729.75</v>
      </c>
    </row>
    <row r="9" spans="1:14" ht="15.95" customHeight="1" x14ac:dyDescent="0.25">
      <c r="A9" s="244" t="s">
        <v>22</v>
      </c>
      <c r="B9" s="233" t="s">
        <v>51</v>
      </c>
      <c r="C9" s="243">
        <v>276.41000000000003</v>
      </c>
      <c r="D9" s="235">
        <f t="shared" si="0"/>
        <v>3316.92</v>
      </c>
      <c r="E9" s="235">
        <f t="shared" si="1"/>
        <v>127.57</v>
      </c>
      <c r="F9" s="235">
        <f t="shared" si="2"/>
        <v>98.23</v>
      </c>
      <c r="G9" s="236">
        <f t="shared" si="3"/>
        <v>29.34</v>
      </c>
      <c r="H9" s="237">
        <f t="shared" si="4"/>
        <v>762.89</v>
      </c>
      <c r="I9" s="238">
        <f t="shared" si="5"/>
        <v>2554.0300000000002</v>
      </c>
      <c r="J9" s="239">
        <f t="shared" si="6"/>
        <v>29.341923076923077</v>
      </c>
      <c r="K9" s="240">
        <v>27.812307692307691</v>
      </c>
      <c r="L9" s="240">
        <f t="shared" si="7"/>
        <v>1.5296153846153864</v>
      </c>
      <c r="M9" s="241">
        <f t="shared" si="8"/>
        <v>281.94</v>
      </c>
    </row>
    <row r="10" spans="1:14" ht="15.95" customHeight="1" x14ac:dyDescent="0.25">
      <c r="A10" s="242" t="s">
        <v>23</v>
      </c>
      <c r="B10" s="233" t="s">
        <v>51</v>
      </c>
      <c r="C10" s="243">
        <v>588</v>
      </c>
      <c r="D10" s="235">
        <f t="shared" si="0"/>
        <v>7056</v>
      </c>
      <c r="E10" s="235">
        <f t="shared" si="1"/>
        <v>271.38</v>
      </c>
      <c r="F10" s="235">
        <f t="shared" si="2"/>
        <v>208.96</v>
      </c>
      <c r="G10" s="236">
        <f t="shared" si="3"/>
        <v>62.42</v>
      </c>
      <c r="H10" s="237">
        <f t="shared" si="4"/>
        <v>1622.88</v>
      </c>
      <c r="I10" s="238">
        <f t="shared" si="5"/>
        <v>5433.12</v>
      </c>
      <c r="J10" s="239">
        <f t="shared" si="6"/>
        <v>62.418461538461543</v>
      </c>
      <c r="K10" s="240">
        <v>62.418461538461543</v>
      </c>
      <c r="L10" s="240">
        <f t="shared" si="7"/>
        <v>0</v>
      </c>
      <c r="M10" s="241">
        <f t="shared" si="8"/>
        <v>599.76</v>
      </c>
    </row>
    <row r="11" spans="1:14" ht="15.95" customHeight="1" x14ac:dyDescent="0.25">
      <c r="A11" s="242" t="s">
        <v>24</v>
      </c>
      <c r="B11" s="233" t="s">
        <v>51</v>
      </c>
      <c r="C11" s="243">
        <v>410.28</v>
      </c>
      <c r="D11" s="235">
        <f t="shared" si="0"/>
        <v>4923.3599999999997</v>
      </c>
      <c r="E11" s="235">
        <f t="shared" si="1"/>
        <v>189.36</v>
      </c>
      <c r="F11" s="235">
        <f t="shared" si="2"/>
        <v>145.81</v>
      </c>
      <c r="G11" s="236">
        <f t="shared" si="3"/>
        <v>43.55</v>
      </c>
      <c r="H11" s="237">
        <f t="shared" si="4"/>
        <v>1132.3699999999999</v>
      </c>
      <c r="I11" s="238">
        <f t="shared" si="5"/>
        <v>3790.99</v>
      </c>
      <c r="J11" s="239">
        <f t="shared" si="6"/>
        <v>43.552692307692304</v>
      </c>
      <c r="K11" s="240">
        <v>41.400000000000006</v>
      </c>
      <c r="L11" s="240">
        <f t="shared" si="7"/>
        <v>2.1526923076922984</v>
      </c>
      <c r="M11" s="241">
        <f t="shared" si="8"/>
        <v>418.49</v>
      </c>
    </row>
    <row r="12" spans="1:14" s="19" customFormat="1" ht="15.95" customHeight="1" x14ac:dyDescent="0.25">
      <c r="A12" s="242" t="s">
        <v>25</v>
      </c>
      <c r="B12" s="242" t="s">
        <v>51</v>
      </c>
      <c r="C12" s="243">
        <v>32.26</v>
      </c>
      <c r="D12" s="245">
        <f t="shared" ref="D12:D16" si="9">C12*12</f>
        <v>387.12</v>
      </c>
      <c r="E12" s="245">
        <f t="shared" ref="E12:E29" si="10">D12/26</f>
        <v>14.889230769230769</v>
      </c>
      <c r="F12" s="245">
        <f t="shared" ref="F12:F13" si="11">0.77*E12</f>
        <v>11.464707692307693</v>
      </c>
      <c r="G12" s="246">
        <f t="shared" ref="G12:G13" si="12">0.23*E12</f>
        <v>3.424523076923077</v>
      </c>
      <c r="H12" s="247">
        <f t="shared" ref="H12:H13" si="13">D12*0.23</f>
        <v>89.037600000000012</v>
      </c>
      <c r="I12" s="248">
        <f t="shared" ref="I12:I14" si="14">D12-H12</f>
        <v>298.08240000000001</v>
      </c>
      <c r="J12" s="249">
        <f t="shared" si="6"/>
        <v>3.4245230769230774</v>
      </c>
      <c r="K12" s="250">
        <v>3.4245230769230774</v>
      </c>
      <c r="L12" s="250">
        <f t="shared" si="7"/>
        <v>0</v>
      </c>
      <c r="M12" s="251">
        <f t="shared" ref="M12:M29" si="15">C12*1.02</f>
        <v>32.905200000000001</v>
      </c>
      <c r="N12" s="158"/>
    </row>
    <row r="13" spans="1:14" s="19" customFormat="1" ht="15.95" customHeight="1" x14ac:dyDescent="0.25">
      <c r="A13" s="242" t="s">
        <v>26</v>
      </c>
      <c r="B13" s="242" t="s">
        <v>51</v>
      </c>
      <c r="C13" s="243">
        <v>18.05</v>
      </c>
      <c r="D13" s="245">
        <f t="shared" si="9"/>
        <v>216.60000000000002</v>
      </c>
      <c r="E13" s="245">
        <f t="shared" si="10"/>
        <v>8.3307692307692314</v>
      </c>
      <c r="F13" s="245">
        <f t="shared" si="11"/>
        <v>6.4146923076923086</v>
      </c>
      <c r="G13" s="246">
        <f t="shared" si="12"/>
        <v>1.9160769230769232</v>
      </c>
      <c r="H13" s="247">
        <f t="shared" si="13"/>
        <v>49.818000000000005</v>
      </c>
      <c r="I13" s="248">
        <f t="shared" si="14"/>
        <v>166.78200000000001</v>
      </c>
      <c r="J13" s="249">
        <f t="shared" si="6"/>
        <v>1.9160769230769232</v>
      </c>
      <c r="K13" s="250">
        <v>1.9160769230769232</v>
      </c>
      <c r="L13" s="250">
        <f t="shared" si="7"/>
        <v>0</v>
      </c>
      <c r="M13" s="251">
        <f t="shared" si="15"/>
        <v>18.411000000000001</v>
      </c>
      <c r="N13" s="158"/>
    </row>
    <row r="14" spans="1:14" s="19" customFormat="1" ht="15.95" customHeight="1" x14ac:dyDescent="0.25">
      <c r="A14" s="242" t="s">
        <v>27</v>
      </c>
      <c r="B14" s="242" t="s">
        <v>16</v>
      </c>
      <c r="C14" s="252">
        <v>3.16</v>
      </c>
      <c r="D14" s="245">
        <f t="shared" si="9"/>
        <v>37.92</v>
      </c>
      <c r="E14" s="245">
        <f t="shared" si="10"/>
        <v>1.4584615384615385</v>
      </c>
      <c r="F14" s="245">
        <f>E14*0.8</f>
        <v>1.1667692307692308</v>
      </c>
      <c r="G14" s="246">
        <f>E14*0.2</f>
        <v>0.2916923076923077</v>
      </c>
      <c r="H14" s="247">
        <f>D14*0.2</f>
        <v>7.5840000000000005</v>
      </c>
      <c r="I14" s="248">
        <f t="shared" si="14"/>
        <v>30.336000000000002</v>
      </c>
      <c r="J14" s="249">
        <f t="shared" si="6"/>
        <v>0.2916923076923077</v>
      </c>
      <c r="K14" s="250">
        <v>0.2916923076923077</v>
      </c>
      <c r="L14" s="250">
        <f t="shared" si="7"/>
        <v>0</v>
      </c>
      <c r="M14" s="251">
        <f t="shared" si="15"/>
        <v>3.2232000000000003</v>
      </c>
      <c r="N14" s="158"/>
    </row>
    <row r="15" spans="1:14" s="19" customFormat="1" ht="15.95" customHeight="1" x14ac:dyDescent="0.25">
      <c r="A15" s="242" t="s">
        <v>28</v>
      </c>
      <c r="B15" s="260" t="s">
        <v>50</v>
      </c>
      <c r="C15" s="252">
        <v>5.48</v>
      </c>
      <c r="D15" s="245">
        <f t="shared" si="9"/>
        <v>65.760000000000005</v>
      </c>
      <c r="E15" s="245">
        <f t="shared" si="10"/>
        <v>2.5292307692307694</v>
      </c>
      <c r="F15" s="245">
        <f>F14</f>
        <v>1.1667692307692308</v>
      </c>
      <c r="G15" s="246">
        <f>E15-F15</f>
        <v>1.3624615384615386</v>
      </c>
      <c r="H15" s="247">
        <f>D15-I15</f>
        <v>35.42</v>
      </c>
      <c r="I15" s="248">
        <v>30.34</v>
      </c>
      <c r="J15" s="249">
        <f t="shared" si="6"/>
        <v>1.3623076923076924</v>
      </c>
      <c r="K15" s="250">
        <v>1.3623076923076924</v>
      </c>
      <c r="L15" s="250">
        <f t="shared" si="7"/>
        <v>0</v>
      </c>
      <c r="M15" s="251">
        <f t="shared" si="15"/>
        <v>5.5896000000000008</v>
      </c>
      <c r="N15" s="158"/>
    </row>
    <row r="16" spans="1:14" s="19" customFormat="1" ht="15.95" customHeight="1" x14ac:dyDescent="0.25">
      <c r="A16" s="242" t="s">
        <v>29</v>
      </c>
      <c r="B16" s="260" t="s">
        <v>50</v>
      </c>
      <c r="C16" s="252">
        <v>9.5299999999999994</v>
      </c>
      <c r="D16" s="253">
        <f t="shared" si="9"/>
        <v>114.35999999999999</v>
      </c>
      <c r="E16" s="253">
        <f t="shared" si="10"/>
        <v>4.3984615384615378</v>
      </c>
      <c r="F16" s="245">
        <f>F15</f>
        <v>1.1667692307692308</v>
      </c>
      <c r="G16" s="246">
        <f>E16-F16</f>
        <v>3.231692307692307</v>
      </c>
      <c r="H16" s="247">
        <f>D16-I16</f>
        <v>84.019999999999982</v>
      </c>
      <c r="I16" s="248">
        <v>30.34</v>
      </c>
      <c r="J16" s="249">
        <f t="shared" si="6"/>
        <v>3.2315384615384608</v>
      </c>
      <c r="K16" s="250">
        <v>3.2315384615384608</v>
      </c>
      <c r="L16" s="250">
        <f t="shared" si="7"/>
        <v>0</v>
      </c>
      <c r="M16" s="254">
        <f t="shared" si="15"/>
        <v>9.7205999999999992</v>
      </c>
      <c r="N16" s="158"/>
    </row>
    <row r="17" spans="1:14" s="19" customFormat="1" ht="15.95" customHeight="1" x14ac:dyDescent="0.25">
      <c r="A17" s="261" t="s">
        <v>41</v>
      </c>
      <c r="B17" s="262"/>
      <c r="C17" s="262"/>
      <c r="D17" s="262"/>
      <c r="E17" s="263"/>
      <c r="F17" s="262"/>
      <c r="G17" s="264"/>
      <c r="H17" s="262"/>
      <c r="I17" s="262"/>
      <c r="J17" s="264"/>
      <c r="K17" s="265"/>
      <c r="L17" s="87"/>
      <c r="M17" s="266"/>
      <c r="N17" s="158"/>
    </row>
    <row r="18" spans="1:14" s="19" customFormat="1" ht="15.95" customHeight="1" x14ac:dyDescent="0.25">
      <c r="A18" s="242" t="s">
        <v>18</v>
      </c>
      <c r="B18" s="242" t="s">
        <v>51</v>
      </c>
      <c r="C18" s="252">
        <v>456</v>
      </c>
      <c r="D18" s="235">
        <f t="shared" ref="D18:D24" si="16">ROUND(C18*12,2)</f>
        <v>5472</v>
      </c>
      <c r="E18" s="235">
        <f t="shared" ref="E18:E24" si="17">ROUND(D18/26,2)</f>
        <v>210.46</v>
      </c>
      <c r="F18" s="235">
        <f t="shared" ref="F18:F24" si="18">ROUND(0.77*E18,2)</f>
        <v>162.05000000000001</v>
      </c>
      <c r="G18" s="236">
        <f t="shared" ref="G18:G24" si="19">ROUND(0.23*E18,2)</f>
        <v>48.41</v>
      </c>
      <c r="H18" s="237">
        <f t="shared" ref="H18:H24" si="20">ROUND(D18*0.23,2)</f>
        <v>1258.56</v>
      </c>
      <c r="I18" s="238">
        <f t="shared" ref="I18:I24" si="21">ROUND(D18-H18,2)</f>
        <v>4213.4399999999996</v>
      </c>
      <c r="J18" s="239">
        <f t="shared" ref="J18:J29" si="22">H18/26</f>
        <v>48.406153846153842</v>
      </c>
      <c r="K18" s="240">
        <v>48.618461538461538</v>
      </c>
      <c r="L18" s="240">
        <f t="shared" ref="L18:L29" si="23">J18-K18</f>
        <v>-0.21230769230769653</v>
      </c>
      <c r="M18" s="241">
        <f t="shared" ref="M18:M24" si="24">ROUND(C18*1.02,2)</f>
        <v>465.12</v>
      </c>
      <c r="N18" s="158"/>
    </row>
    <row r="19" spans="1:14" s="19" customFormat="1" ht="15.95" customHeight="1" x14ac:dyDescent="0.25">
      <c r="A19" s="242" t="s">
        <v>19</v>
      </c>
      <c r="B19" s="242" t="s">
        <v>51</v>
      </c>
      <c r="C19" s="243">
        <v>1049.46</v>
      </c>
      <c r="D19" s="235">
        <f t="shared" si="16"/>
        <v>12593.52</v>
      </c>
      <c r="E19" s="235">
        <f t="shared" si="17"/>
        <v>484.37</v>
      </c>
      <c r="F19" s="235">
        <f t="shared" si="18"/>
        <v>372.96</v>
      </c>
      <c r="G19" s="236">
        <f t="shared" si="19"/>
        <v>111.41</v>
      </c>
      <c r="H19" s="237">
        <f t="shared" si="20"/>
        <v>2896.51</v>
      </c>
      <c r="I19" s="238">
        <f t="shared" si="21"/>
        <v>9697.01</v>
      </c>
      <c r="J19" s="239">
        <f t="shared" si="22"/>
        <v>111.40423076923078</v>
      </c>
      <c r="K19" s="240">
        <v>117.24576923076923</v>
      </c>
      <c r="L19" s="240">
        <f t="shared" si="23"/>
        <v>-5.8415384615384482</v>
      </c>
      <c r="M19" s="241">
        <f t="shared" si="24"/>
        <v>1070.45</v>
      </c>
      <c r="N19" s="158"/>
    </row>
    <row r="20" spans="1:14" s="19" customFormat="1" ht="15.95" customHeight="1" x14ac:dyDescent="0.25">
      <c r="A20" s="244" t="s">
        <v>20</v>
      </c>
      <c r="B20" s="242" t="s">
        <v>51</v>
      </c>
      <c r="C20" s="243">
        <v>611.28</v>
      </c>
      <c r="D20" s="235">
        <f t="shared" si="16"/>
        <v>7335.36</v>
      </c>
      <c r="E20" s="235">
        <f t="shared" si="17"/>
        <v>282.13</v>
      </c>
      <c r="F20" s="235">
        <f t="shared" si="18"/>
        <v>217.24</v>
      </c>
      <c r="G20" s="236">
        <f t="shared" si="19"/>
        <v>64.89</v>
      </c>
      <c r="H20" s="237">
        <f t="shared" si="20"/>
        <v>1687.13</v>
      </c>
      <c r="I20" s="238">
        <f t="shared" si="21"/>
        <v>5648.23</v>
      </c>
      <c r="J20" s="239">
        <f t="shared" si="22"/>
        <v>64.889615384615382</v>
      </c>
      <c r="K20" s="240">
        <v>67.178461538461548</v>
      </c>
      <c r="L20" s="240">
        <f t="shared" si="23"/>
        <v>-2.2888461538461655</v>
      </c>
      <c r="M20" s="241">
        <f t="shared" si="24"/>
        <v>623.51</v>
      </c>
      <c r="N20" s="158"/>
    </row>
    <row r="21" spans="1:14" s="19" customFormat="1" ht="15.95" customHeight="1" x14ac:dyDescent="0.25">
      <c r="A21" s="242" t="s">
        <v>21</v>
      </c>
      <c r="B21" s="242" t="s">
        <v>51</v>
      </c>
      <c r="C21" s="243">
        <v>1430.88</v>
      </c>
      <c r="D21" s="235">
        <f t="shared" si="16"/>
        <v>17170.560000000001</v>
      </c>
      <c r="E21" s="235">
        <f t="shared" si="17"/>
        <v>660.41</v>
      </c>
      <c r="F21" s="235">
        <f t="shared" si="18"/>
        <v>508.52</v>
      </c>
      <c r="G21" s="236">
        <f t="shared" si="19"/>
        <v>151.88999999999999</v>
      </c>
      <c r="H21" s="237">
        <f t="shared" si="20"/>
        <v>3949.23</v>
      </c>
      <c r="I21" s="238">
        <f t="shared" si="21"/>
        <v>13221.33</v>
      </c>
      <c r="J21" s="239">
        <f t="shared" si="22"/>
        <v>151.89346153846154</v>
      </c>
      <c r="K21" s="240">
        <v>140.12307692307692</v>
      </c>
      <c r="L21" s="240">
        <f t="shared" si="23"/>
        <v>11.770384615384614</v>
      </c>
      <c r="M21" s="241">
        <f t="shared" si="24"/>
        <v>1459.5</v>
      </c>
      <c r="N21" s="158"/>
    </row>
    <row r="22" spans="1:14" s="19" customFormat="1" ht="15.95" customHeight="1" x14ac:dyDescent="0.25">
      <c r="A22" s="244" t="s">
        <v>22</v>
      </c>
      <c r="B22" s="242" t="s">
        <v>51</v>
      </c>
      <c r="C22" s="243">
        <v>552.82000000000005</v>
      </c>
      <c r="D22" s="235">
        <f t="shared" si="16"/>
        <v>6633.84</v>
      </c>
      <c r="E22" s="235">
        <f t="shared" si="17"/>
        <v>255.15</v>
      </c>
      <c r="F22" s="235">
        <f t="shared" si="18"/>
        <v>196.47</v>
      </c>
      <c r="G22" s="236">
        <f t="shared" si="19"/>
        <v>58.68</v>
      </c>
      <c r="H22" s="237">
        <f t="shared" si="20"/>
        <v>1525.78</v>
      </c>
      <c r="I22" s="238">
        <f t="shared" si="21"/>
        <v>5108.0600000000004</v>
      </c>
      <c r="J22" s="239">
        <f t="shared" si="22"/>
        <v>58.683846153846154</v>
      </c>
      <c r="K22" s="240">
        <v>55.624615384615382</v>
      </c>
      <c r="L22" s="240">
        <f t="shared" si="23"/>
        <v>3.0592307692307728</v>
      </c>
      <c r="M22" s="241">
        <f t="shared" si="24"/>
        <v>563.88</v>
      </c>
      <c r="N22" s="158"/>
    </row>
    <row r="23" spans="1:14" s="19" customFormat="1" ht="15.95" customHeight="1" x14ac:dyDescent="0.25">
      <c r="A23" s="242" t="s">
        <v>23</v>
      </c>
      <c r="B23" s="242" t="s">
        <v>51</v>
      </c>
      <c r="C23" s="243">
        <v>1176</v>
      </c>
      <c r="D23" s="235">
        <f t="shared" si="16"/>
        <v>14112</v>
      </c>
      <c r="E23" s="235">
        <f t="shared" si="17"/>
        <v>542.77</v>
      </c>
      <c r="F23" s="235">
        <f t="shared" si="18"/>
        <v>417.93</v>
      </c>
      <c r="G23" s="236">
        <f t="shared" si="19"/>
        <v>124.84</v>
      </c>
      <c r="H23" s="237">
        <f t="shared" si="20"/>
        <v>3245.76</v>
      </c>
      <c r="I23" s="238">
        <f t="shared" si="21"/>
        <v>10866.24</v>
      </c>
      <c r="J23" s="239">
        <f t="shared" si="22"/>
        <v>124.83692307692309</v>
      </c>
      <c r="K23" s="240">
        <v>124.83692307692309</v>
      </c>
      <c r="L23" s="240">
        <f t="shared" si="23"/>
        <v>0</v>
      </c>
      <c r="M23" s="241">
        <f t="shared" si="24"/>
        <v>1199.52</v>
      </c>
      <c r="N23" s="158"/>
    </row>
    <row r="24" spans="1:14" s="19" customFormat="1" ht="15.95" customHeight="1" x14ac:dyDescent="0.25">
      <c r="A24" s="242" t="s">
        <v>24</v>
      </c>
      <c r="B24" s="242" t="s">
        <v>51</v>
      </c>
      <c r="C24" s="243">
        <v>820.56</v>
      </c>
      <c r="D24" s="235">
        <f t="shared" si="16"/>
        <v>9846.7199999999993</v>
      </c>
      <c r="E24" s="235">
        <f t="shared" si="17"/>
        <v>378.72</v>
      </c>
      <c r="F24" s="235">
        <f t="shared" si="18"/>
        <v>291.61</v>
      </c>
      <c r="G24" s="236">
        <f t="shared" si="19"/>
        <v>87.11</v>
      </c>
      <c r="H24" s="237">
        <f t="shared" si="20"/>
        <v>2264.75</v>
      </c>
      <c r="I24" s="238">
        <f t="shared" si="21"/>
        <v>7581.97</v>
      </c>
      <c r="J24" s="239">
        <f t="shared" si="22"/>
        <v>87.105769230769226</v>
      </c>
      <c r="K24" s="240">
        <v>82.800000000000011</v>
      </c>
      <c r="L24" s="240">
        <f t="shared" si="23"/>
        <v>4.305769230769215</v>
      </c>
      <c r="M24" s="241">
        <f t="shared" si="24"/>
        <v>836.97</v>
      </c>
      <c r="N24" s="158"/>
    </row>
    <row r="25" spans="1:14" s="19" customFormat="1" ht="15.95" customHeight="1" x14ac:dyDescent="0.25">
      <c r="A25" s="242" t="s">
        <v>25</v>
      </c>
      <c r="B25" s="242" t="s">
        <v>51</v>
      </c>
      <c r="C25" s="243">
        <v>64.67</v>
      </c>
      <c r="D25" s="245">
        <f t="shared" ref="D25:D29" si="25">C25*12</f>
        <v>776.04</v>
      </c>
      <c r="E25" s="245">
        <f t="shared" si="10"/>
        <v>29.847692307692306</v>
      </c>
      <c r="F25" s="245">
        <f t="shared" ref="F25:F26" si="26">0.77*E25</f>
        <v>22.982723076923076</v>
      </c>
      <c r="G25" s="246">
        <f t="shared" ref="G25:G26" si="27">0.23*E25</f>
        <v>6.8649692307692307</v>
      </c>
      <c r="H25" s="247">
        <f t="shared" ref="H25:H26" si="28">D25*0.23</f>
        <v>178.48920000000001</v>
      </c>
      <c r="I25" s="248">
        <f t="shared" ref="I25:I27" si="29">D25-H25</f>
        <v>597.55079999999998</v>
      </c>
      <c r="J25" s="249">
        <f t="shared" si="22"/>
        <v>6.8649692307692316</v>
      </c>
      <c r="K25" s="250">
        <v>6.8649692307692316</v>
      </c>
      <c r="L25" s="250">
        <f t="shared" si="23"/>
        <v>0</v>
      </c>
      <c r="M25" s="251">
        <f t="shared" si="15"/>
        <v>65.963400000000007</v>
      </c>
      <c r="N25" s="158"/>
    </row>
    <row r="26" spans="1:14" s="19" customFormat="1" ht="15.95" customHeight="1" x14ac:dyDescent="0.25">
      <c r="A26" s="242" t="s">
        <v>26</v>
      </c>
      <c r="B26" s="242" t="s">
        <v>51</v>
      </c>
      <c r="C26" s="243">
        <v>35.1</v>
      </c>
      <c r="D26" s="245">
        <f t="shared" si="25"/>
        <v>421.20000000000005</v>
      </c>
      <c r="E26" s="245">
        <f t="shared" si="10"/>
        <v>16.200000000000003</v>
      </c>
      <c r="F26" s="245">
        <f t="shared" si="26"/>
        <v>12.474000000000002</v>
      </c>
      <c r="G26" s="246">
        <f t="shared" si="27"/>
        <v>3.7260000000000009</v>
      </c>
      <c r="H26" s="247">
        <f t="shared" si="28"/>
        <v>96.876000000000019</v>
      </c>
      <c r="I26" s="248">
        <f t="shared" si="29"/>
        <v>324.32400000000001</v>
      </c>
      <c r="J26" s="249">
        <f t="shared" si="22"/>
        <v>3.7260000000000009</v>
      </c>
      <c r="K26" s="250">
        <v>3.7260000000000009</v>
      </c>
      <c r="L26" s="250">
        <f t="shared" si="23"/>
        <v>0</v>
      </c>
      <c r="M26" s="251">
        <f t="shared" si="15"/>
        <v>35.802</v>
      </c>
      <c r="N26" s="158"/>
    </row>
    <row r="27" spans="1:14" s="19" customFormat="1" ht="15.95" customHeight="1" x14ac:dyDescent="0.25">
      <c r="A27" s="242" t="s">
        <v>27</v>
      </c>
      <c r="B27" s="242" t="s">
        <v>16</v>
      </c>
      <c r="C27" s="243">
        <v>6.36</v>
      </c>
      <c r="D27" s="245">
        <f t="shared" si="25"/>
        <v>76.320000000000007</v>
      </c>
      <c r="E27" s="245">
        <f t="shared" si="10"/>
        <v>2.9353846153846157</v>
      </c>
      <c r="F27" s="245">
        <f t="shared" ref="F27" si="30">E27*0.8</f>
        <v>2.3483076923076927</v>
      </c>
      <c r="G27" s="246">
        <f t="shared" ref="G27" si="31">E27*0.2</f>
        <v>0.58707692307692316</v>
      </c>
      <c r="H27" s="247">
        <f>D27*0.2</f>
        <v>15.264000000000003</v>
      </c>
      <c r="I27" s="248">
        <f t="shared" si="29"/>
        <v>61.056000000000004</v>
      </c>
      <c r="J27" s="249">
        <f t="shared" si="22"/>
        <v>0.58707692307692316</v>
      </c>
      <c r="K27" s="250">
        <v>0.58707692307692316</v>
      </c>
      <c r="L27" s="250">
        <f t="shared" si="23"/>
        <v>0</v>
      </c>
      <c r="M27" s="251">
        <f t="shared" si="15"/>
        <v>6.4872000000000005</v>
      </c>
      <c r="N27" s="158"/>
    </row>
    <row r="28" spans="1:14" s="19" customFormat="1" ht="15.95" customHeight="1" x14ac:dyDescent="0.25">
      <c r="A28" s="242" t="s">
        <v>28</v>
      </c>
      <c r="B28" s="260" t="s">
        <v>50</v>
      </c>
      <c r="C28" s="243">
        <v>10.98</v>
      </c>
      <c r="D28" s="245">
        <f t="shared" si="25"/>
        <v>131.76</v>
      </c>
      <c r="E28" s="245">
        <f t="shared" si="10"/>
        <v>5.0676923076923073</v>
      </c>
      <c r="F28" s="245">
        <f>F27</f>
        <v>2.3483076923076927</v>
      </c>
      <c r="G28" s="246">
        <f>E28-F28</f>
        <v>2.7193846153846146</v>
      </c>
      <c r="H28" s="247">
        <f>D28-I28</f>
        <v>70.699999999999989</v>
      </c>
      <c r="I28" s="248">
        <v>61.06</v>
      </c>
      <c r="J28" s="249">
        <f t="shared" si="22"/>
        <v>2.7192307692307689</v>
      </c>
      <c r="K28" s="250">
        <v>2.7192307692307689</v>
      </c>
      <c r="L28" s="250">
        <f t="shared" si="23"/>
        <v>0</v>
      </c>
      <c r="M28" s="251">
        <f t="shared" si="15"/>
        <v>11.1996</v>
      </c>
      <c r="N28" s="158"/>
    </row>
    <row r="29" spans="1:14" s="19" customFormat="1" ht="15.95" customHeight="1" x14ac:dyDescent="0.25">
      <c r="A29" s="242" t="s">
        <v>29</v>
      </c>
      <c r="B29" s="260" t="s">
        <v>50</v>
      </c>
      <c r="C29" s="243">
        <v>19.07</v>
      </c>
      <c r="D29" s="253">
        <f t="shared" si="25"/>
        <v>228.84</v>
      </c>
      <c r="E29" s="253">
        <f t="shared" si="10"/>
        <v>8.8015384615384615</v>
      </c>
      <c r="F29" s="245">
        <f>F27</f>
        <v>2.3483076923076927</v>
      </c>
      <c r="G29" s="246">
        <f>E29-F29</f>
        <v>6.4532307692307693</v>
      </c>
      <c r="H29" s="247">
        <f>D29-I29</f>
        <v>167.78</v>
      </c>
      <c r="I29" s="248">
        <v>61.06</v>
      </c>
      <c r="J29" s="249">
        <f t="shared" si="22"/>
        <v>6.4530769230769227</v>
      </c>
      <c r="K29" s="250">
        <v>6.4530769230769227</v>
      </c>
      <c r="L29" s="258">
        <f t="shared" si="23"/>
        <v>0</v>
      </c>
      <c r="M29" s="254">
        <f t="shared" si="15"/>
        <v>19.4514</v>
      </c>
      <c r="N29" s="158"/>
    </row>
    <row r="30" spans="1:14" s="19" customFormat="1" ht="15.95" customHeight="1" x14ac:dyDescent="0.25">
      <c r="A30" s="261" t="s">
        <v>42</v>
      </c>
      <c r="B30" s="262"/>
      <c r="C30" s="262"/>
      <c r="D30" s="262"/>
      <c r="E30" s="263"/>
      <c r="F30" s="262"/>
      <c r="G30" s="264"/>
      <c r="H30" s="262"/>
      <c r="I30" s="262"/>
      <c r="J30" s="264"/>
      <c r="K30" s="265"/>
      <c r="L30" s="87"/>
      <c r="M30" s="266"/>
      <c r="N30" s="158"/>
    </row>
    <row r="31" spans="1:14" ht="15.95" customHeight="1" x14ac:dyDescent="0.25">
      <c r="A31" s="233" t="s">
        <v>18</v>
      </c>
      <c r="B31" s="233" t="s">
        <v>51</v>
      </c>
      <c r="C31" s="252">
        <v>684</v>
      </c>
      <c r="D31" s="235">
        <f t="shared" ref="D31:D37" si="32">ROUND(C31*12,2)</f>
        <v>8208</v>
      </c>
      <c r="E31" s="235">
        <f t="shared" ref="E31:E37" si="33">ROUND(D31/26,2)</f>
        <v>315.69</v>
      </c>
      <c r="F31" s="235">
        <f t="shared" ref="F31:F37" si="34">ROUND(0.77*E31,2)</f>
        <v>243.08</v>
      </c>
      <c r="G31" s="236">
        <f t="shared" ref="G31:G37" si="35">ROUND(0.23*E31,2)</f>
        <v>72.61</v>
      </c>
      <c r="H31" s="237">
        <f t="shared" ref="H31:H37" si="36">ROUND(D31*0.23,2)</f>
        <v>1887.84</v>
      </c>
      <c r="I31" s="238">
        <f t="shared" ref="I31:I36" si="37">ROUND(D31-H31,2)</f>
        <v>6320.16</v>
      </c>
      <c r="J31" s="239">
        <f t="shared" ref="J31:J42" si="38">H31/26</f>
        <v>72.609230769230763</v>
      </c>
      <c r="K31" s="240">
        <v>72.927692307692297</v>
      </c>
      <c r="L31" s="240">
        <f t="shared" ref="L31:L42" si="39">J31-K31</f>
        <v>-0.31846153846153413</v>
      </c>
      <c r="M31" s="241">
        <f t="shared" ref="M31:M37" si="40">ROUND(C31*1.02,2)</f>
        <v>697.68</v>
      </c>
    </row>
    <row r="32" spans="1:14" ht="15.95" customHeight="1" x14ac:dyDescent="0.25">
      <c r="A32" s="242" t="s">
        <v>19</v>
      </c>
      <c r="B32" s="233" t="s">
        <v>51</v>
      </c>
      <c r="C32" s="243">
        <v>1574.18</v>
      </c>
      <c r="D32" s="235">
        <f t="shared" si="32"/>
        <v>18890.16</v>
      </c>
      <c r="E32" s="235">
        <f t="shared" si="33"/>
        <v>726.54</v>
      </c>
      <c r="F32" s="235">
        <f t="shared" si="34"/>
        <v>559.44000000000005</v>
      </c>
      <c r="G32" s="236">
        <f t="shared" si="35"/>
        <v>167.1</v>
      </c>
      <c r="H32" s="237">
        <f t="shared" si="36"/>
        <v>4344.74</v>
      </c>
      <c r="I32" s="238">
        <f t="shared" si="37"/>
        <v>14545.42</v>
      </c>
      <c r="J32" s="239">
        <f t="shared" si="38"/>
        <v>167.10538461538459</v>
      </c>
      <c r="K32" s="240">
        <v>175.8692307692308</v>
      </c>
      <c r="L32" s="240">
        <f t="shared" si="39"/>
        <v>-8.7638461538462025</v>
      </c>
      <c r="M32" s="241">
        <f t="shared" si="40"/>
        <v>1605.66</v>
      </c>
    </row>
    <row r="33" spans="1:16" ht="15.95" customHeight="1" x14ac:dyDescent="0.25">
      <c r="A33" s="244" t="s">
        <v>20</v>
      </c>
      <c r="B33" s="233" t="s">
        <v>51</v>
      </c>
      <c r="C33" s="243">
        <v>916.92</v>
      </c>
      <c r="D33" s="235">
        <f t="shared" si="32"/>
        <v>11003.04</v>
      </c>
      <c r="E33" s="235">
        <f t="shared" si="33"/>
        <v>423.19</v>
      </c>
      <c r="F33" s="235">
        <f t="shared" si="34"/>
        <v>325.86</v>
      </c>
      <c r="G33" s="236">
        <f t="shared" si="35"/>
        <v>97.33</v>
      </c>
      <c r="H33" s="237">
        <f t="shared" si="36"/>
        <v>2530.6999999999998</v>
      </c>
      <c r="I33" s="238">
        <f t="shared" si="37"/>
        <v>8472.34</v>
      </c>
      <c r="J33" s="239">
        <f t="shared" si="38"/>
        <v>97.334615384615375</v>
      </c>
      <c r="K33" s="240">
        <v>100.76769230769231</v>
      </c>
      <c r="L33" s="240">
        <f t="shared" si="39"/>
        <v>-3.4330769230769391</v>
      </c>
      <c r="M33" s="241">
        <f t="shared" si="40"/>
        <v>935.26</v>
      </c>
    </row>
    <row r="34" spans="1:16" ht="15.95" customHeight="1" x14ac:dyDescent="0.25">
      <c r="A34" s="242" t="s">
        <v>21</v>
      </c>
      <c r="B34" s="233" t="s">
        <v>51</v>
      </c>
      <c r="C34" s="243">
        <v>2146.3200000000002</v>
      </c>
      <c r="D34" s="235">
        <f t="shared" si="32"/>
        <v>25755.84</v>
      </c>
      <c r="E34" s="235">
        <f t="shared" si="33"/>
        <v>990.61</v>
      </c>
      <c r="F34" s="235">
        <f t="shared" si="34"/>
        <v>762.77</v>
      </c>
      <c r="G34" s="236">
        <f t="shared" si="35"/>
        <v>227.84</v>
      </c>
      <c r="H34" s="237">
        <f t="shared" si="36"/>
        <v>5923.84</v>
      </c>
      <c r="I34" s="238">
        <f t="shared" si="37"/>
        <v>19832</v>
      </c>
      <c r="J34" s="239">
        <f t="shared" si="38"/>
        <v>227.84</v>
      </c>
      <c r="K34" s="240">
        <v>210.1846153846154</v>
      </c>
      <c r="L34" s="240">
        <f t="shared" si="39"/>
        <v>17.655384615384605</v>
      </c>
      <c r="M34" s="241">
        <f t="shared" si="40"/>
        <v>2189.25</v>
      </c>
    </row>
    <row r="35" spans="1:16" ht="15.95" customHeight="1" x14ac:dyDescent="0.25">
      <c r="A35" s="244" t="s">
        <v>22</v>
      </c>
      <c r="B35" s="233" t="s">
        <v>51</v>
      </c>
      <c r="C35" s="243">
        <v>829.23</v>
      </c>
      <c r="D35" s="235">
        <f t="shared" si="32"/>
        <v>9950.76</v>
      </c>
      <c r="E35" s="235">
        <f t="shared" si="33"/>
        <v>382.72</v>
      </c>
      <c r="F35" s="235">
        <f t="shared" si="34"/>
        <v>294.69</v>
      </c>
      <c r="G35" s="236">
        <f t="shared" si="35"/>
        <v>88.03</v>
      </c>
      <c r="H35" s="237">
        <f t="shared" si="36"/>
        <v>2288.67</v>
      </c>
      <c r="I35" s="238">
        <f t="shared" si="37"/>
        <v>7662.09</v>
      </c>
      <c r="J35" s="239">
        <f t="shared" si="38"/>
        <v>88.025769230769228</v>
      </c>
      <c r="K35" s="240">
        <v>83.43692307692308</v>
      </c>
      <c r="L35" s="240">
        <f t="shared" si="39"/>
        <v>4.5888461538461485</v>
      </c>
      <c r="M35" s="241">
        <f t="shared" si="40"/>
        <v>845.81</v>
      </c>
    </row>
    <row r="36" spans="1:16" ht="15.95" customHeight="1" x14ac:dyDescent="0.25">
      <c r="A36" s="242" t="s">
        <v>23</v>
      </c>
      <c r="B36" s="233" t="s">
        <v>51</v>
      </c>
      <c r="C36" s="243">
        <v>1764</v>
      </c>
      <c r="D36" s="235">
        <f t="shared" si="32"/>
        <v>21168</v>
      </c>
      <c r="E36" s="235">
        <f t="shared" si="33"/>
        <v>814.15</v>
      </c>
      <c r="F36" s="235">
        <f t="shared" si="34"/>
        <v>626.9</v>
      </c>
      <c r="G36" s="236">
        <f t="shared" si="35"/>
        <v>187.25</v>
      </c>
      <c r="H36" s="237">
        <f t="shared" si="36"/>
        <v>4868.6400000000003</v>
      </c>
      <c r="I36" s="238">
        <f t="shared" si="37"/>
        <v>16299.36</v>
      </c>
      <c r="J36" s="239">
        <f t="shared" si="38"/>
        <v>187.25538461538463</v>
      </c>
      <c r="K36" s="240">
        <v>187.25538461538463</v>
      </c>
      <c r="L36" s="240">
        <f t="shared" si="39"/>
        <v>0</v>
      </c>
      <c r="M36" s="241">
        <f t="shared" si="40"/>
        <v>1799.28</v>
      </c>
    </row>
    <row r="37" spans="1:16" ht="15.95" customHeight="1" x14ac:dyDescent="0.25">
      <c r="A37" s="242" t="s">
        <v>24</v>
      </c>
      <c r="B37" s="233" t="s">
        <v>51</v>
      </c>
      <c r="C37" s="243">
        <v>1230.8399999999999</v>
      </c>
      <c r="D37" s="235">
        <f t="shared" si="32"/>
        <v>14770.08</v>
      </c>
      <c r="E37" s="235">
        <f t="shared" si="33"/>
        <v>568.08000000000004</v>
      </c>
      <c r="F37" s="235">
        <f t="shared" si="34"/>
        <v>437.42</v>
      </c>
      <c r="G37" s="236">
        <f t="shared" si="35"/>
        <v>130.66</v>
      </c>
      <c r="H37" s="237">
        <f t="shared" si="36"/>
        <v>3397.12</v>
      </c>
      <c r="I37" s="238">
        <f>ROUND(D37-H37,2)</f>
        <v>11372.96</v>
      </c>
      <c r="J37" s="239">
        <f t="shared" si="38"/>
        <v>130.65846153846152</v>
      </c>
      <c r="K37" s="240">
        <v>124.19999999999999</v>
      </c>
      <c r="L37" s="240">
        <f t="shared" si="39"/>
        <v>6.4584615384615347</v>
      </c>
      <c r="M37" s="241">
        <f t="shared" si="40"/>
        <v>1255.46</v>
      </c>
    </row>
    <row r="38" spans="1:16" ht="15.95" customHeight="1" x14ac:dyDescent="0.25">
      <c r="A38" s="233" t="s">
        <v>25</v>
      </c>
      <c r="B38" s="233" t="s">
        <v>51</v>
      </c>
      <c r="C38" s="243">
        <v>119.59</v>
      </c>
      <c r="D38" s="245">
        <f t="shared" ref="D38:D42" si="41">C38*12</f>
        <v>1435.08</v>
      </c>
      <c r="E38" s="245">
        <f t="shared" ref="E38:E42" si="42">D38/26</f>
        <v>55.195384615384611</v>
      </c>
      <c r="F38" s="245">
        <f t="shared" ref="F38:F39" si="43">0.77*E38</f>
        <v>42.500446153846148</v>
      </c>
      <c r="G38" s="246">
        <f t="shared" ref="G38:G39" si="44">0.23*E38</f>
        <v>12.694938461538461</v>
      </c>
      <c r="H38" s="247">
        <f t="shared" ref="H38:H39" si="45">D38*0.23</f>
        <v>330.0684</v>
      </c>
      <c r="I38" s="248">
        <f t="shared" ref="I38:I40" si="46">D38-H38</f>
        <v>1105.0115999999998</v>
      </c>
      <c r="J38" s="255">
        <f t="shared" si="38"/>
        <v>12.694938461538461</v>
      </c>
      <c r="K38" s="259">
        <v>12.694938461538461</v>
      </c>
      <c r="L38" s="256">
        <f t="shared" si="39"/>
        <v>0</v>
      </c>
      <c r="M38" s="257">
        <f t="shared" ref="M38:M42" si="47">C38*1.02</f>
        <v>121.98180000000001</v>
      </c>
    </row>
    <row r="39" spans="1:16" ht="15.95" customHeight="1" x14ac:dyDescent="0.25">
      <c r="A39" s="233" t="s">
        <v>26</v>
      </c>
      <c r="B39" s="233" t="s">
        <v>51</v>
      </c>
      <c r="C39" s="243">
        <v>50.85</v>
      </c>
      <c r="D39" s="245">
        <f t="shared" si="41"/>
        <v>610.20000000000005</v>
      </c>
      <c r="E39" s="245">
        <f t="shared" si="42"/>
        <v>23.469230769230769</v>
      </c>
      <c r="F39" s="245">
        <f t="shared" si="43"/>
        <v>18.071307692307691</v>
      </c>
      <c r="G39" s="246">
        <f t="shared" si="44"/>
        <v>5.3979230769230773</v>
      </c>
      <c r="H39" s="247">
        <f t="shared" si="45"/>
        <v>140.346</v>
      </c>
      <c r="I39" s="248">
        <f t="shared" si="46"/>
        <v>469.85400000000004</v>
      </c>
      <c r="J39" s="255">
        <f t="shared" si="38"/>
        <v>5.3979230769230773</v>
      </c>
      <c r="K39" s="259">
        <v>5.3979230769230773</v>
      </c>
      <c r="L39" s="256">
        <f t="shared" si="39"/>
        <v>0</v>
      </c>
      <c r="M39" s="257">
        <f t="shared" si="47"/>
        <v>51.867000000000004</v>
      </c>
      <c r="P39" t="s">
        <v>30</v>
      </c>
    </row>
    <row r="40" spans="1:16" ht="15.95" customHeight="1" x14ac:dyDescent="0.25">
      <c r="A40" s="233" t="s">
        <v>27</v>
      </c>
      <c r="B40" s="233" t="s">
        <v>16</v>
      </c>
      <c r="C40" s="243">
        <v>9.52</v>
      </c>
      <c r="D40" s="245">
        <f t="shared" si="41"/>
        <v>114.24</v>
      </c>
      <c r="E40" s="245">
        <f t="shared" si="42"/>
        <v>4.3938461538461535</v>
      </c>
      <c r="F40" s="245">
        <f t="shared" ref="F40" si="48">E40*0.8</f>
        <v>3.515076923076923</v>
      </c>
      <c r="G40" s="246">
        <f t="shared" ref="G40" si="49">E40*0.2</f>
        <v>0.87876923076923075</v>
      </c>
      <c r="H40" s="247">
        <f>D40*0.2</f>
        <v>22.847999999999999</v>
      </c>
      <c r="I40" s="248">
        <f t="shared" si="46"/>
        <v>91.391999999999996</v>
      </c>
      <c r="J40" s="255">
        <f t="shared" si="38"/>
        <v>0.87876923076923075</v>
      </c>
      <c r="K40" s="259">
        <v>0.87876923076923075</v>
      </c>
      <c r="L40" s="256">
        <f t="shared" si="39"/>
        <v>0</v>
      </c>
      <c r="M40" s="257">
        <f t="shared" si="47"/>
        <v>9.7103999999999999</v>
      </c>
    </row>
    <row r="41" spans="1:16" ht="15.95" customHeight="1" x14ac:dyDescent="0.25">
      <c r="A41" s="233" t="s">
        <v>28</v>
      </c>
      <c r="B41" s="232" t="s">
        <v>50</v>
      </c>
      <c r="C41" s="243">
        <v>16.47</v>
      </c>
      <c r="D41" s="245">
        <f t="shared" si="41"/>
        <v>197.64</v>
      </c>
      <c r="E41" s="245">
        <f t="shared" si="42"/>
        <v>7.6015384615384614</v>
      </c>
      <c r="F41" s="245">
        <f>F40</f>
        <v>3.515076923076923</v>
      </c>
      <c r="G41" s="246">
        <f>E41-F41</f>
        <v>4.0864615384615384</v>
      </c>
      <c r="H41" s="247">
        <f>D41-I41</f>
        <v>106.24999999999999</v>
      </c>
      <c r="I41" s="248">
        <v>91.39</v>
      </c>
      <c r="J41" s="255">
        <f t="shared" si="38"/>
        <v>4.0865384615384608</v>
      </c>
      <c r="K41" s="259">
        <v>4.0865384615384608</v>
      </c>
      <c r="L41" s="256">
        <f t="shared" si="39"/>
        <v>0</v>
      </c>
      <c r="M41" s="257">
        <f t="shared" si="47"/>
        <v>16.799399999999999</v>
      </c>
    </row>
    <row r="42" spans="1:16" ht="15.95" customHeight="1" x14ac:dyDescent="0.25">
      <c r="A42" s="233" t="s">
        <v>29</v>
      </c>
      <c r="B42" s="232" t="s">
        <v>50</v>
      </c>
      <c r="C42" s="243">
        <v>28.61</v>
      </c>
      <c r="D42" s="245">
        <f t="shared" si="41"/>
        <v>343.32</v>
      </c>
      <c r="E42" s="245">
        <f t="shared" si="42"/>
        <v>13.204615384615384</v>
      </c>
      <c r="F42" s="245">
        <f>F40</f>
        <v>3.515076923076923</v>
      </c>
      <c r="G42" s="246">
        <f>E42-F42</f>
        <v>9.6895384615384614</v>
      </c>
      <c r="H42" s="247">
        <f>D42-I42</f>
        <v>251.93</v>
      </c>
      <c r="I42" s="248">
        <v>91.39</v>
      </c>
      <c r="J42" s="255">
        <f t="shared" si="38"/>
        <v>9.6896153846153847</v>
      </c>
      <c r="K42" s="259">
        <v>9.6896153846153847</v>
      </c>
      <c r="L42" s="256">
        <f t="shared" si="39"/>
        <v>0</v>
      </c>
      <c r="M42" s="257">
        <f t="shared" si="47"/>
        <v>29.182200000000002</v>
      </c>
    </row>
    <row r="43" spans="1:16" ht="18" x14ac:dyDescent="0.25">
      <c r="A43" s="261" t="s">
        <v>99</v>
      </c>
      <c r="B43" s="268"/>
      <c r="C43" s="269"/>
      <c r="D43" s="270"/>
      <c r="E43" s="270"/>
      <c r="F43" s="270"/>
      <c r="G43" s="271"/>
      <c r="H43" s="277"/>
      <c r="I43" s="278"/>
      <c r="J43" s="285"/>
      <c r="K43" s="279"/>
      <c r="L43" s="272"/>
      <c r="M43" s="273"/>
    </row>
    <row r="44" spans="1:16" ht="18.75" x14ac:dyDescent="0.3">
      <c r="A44" s="233" t="s">
        <v>93</v>
      </c>
      <c r="B44" s="233" t="s">
        <v>45</v>
      </c>
      <c r="C44" s="287">
        <v>1.59</v>
      </c>
      <c r="D44" s="288"/>
      <c r="E44" s="288"/>
      <c r="F44" s="288"/>
      <c r="G44" s="288"/>
      <c r="H44" s="242"/>
      <c r="I44" s="242"/>
      <c r="J44" s="289"/>
      <c r="K44" s="242"/>
      <c r="L44" s="237">
        <v>0</v>
      </c>
      <c r="M44" s="290"/>
    </row>
    <row r="45" spans="1:16" ht="18.75" x14ac:dyDescent="0.3">
      <c r="A45" s="233" t="s">
        <v>100</v>
      </c>
      <c r="B45" s="233" t="s">
        <v>45</v>
      </c>
      <c r="C45" s="291">
        <v>17</v>
      </c>
      <c r="D45" s="288"/>
      <c r="E45" s="288"/>
      <c r="F45" s="288"/>
      <c r="G45" s="292">
        <v>8.5</v>
      </c>
      <c r="H45" s="242"/>
      <c r="I45" s="242"/>
      <c r="J45" s="293">
        <v>8.5</v>
      </c>
      <c r="K45" s="242"/>
      <c r="L45" s="247">
        <v>0</v>
      </c>
      <c r="M45" s="294"/>
    </row>
    <row r="46" spans="1:16" ht="18.75" x14ac:dyDescent="0.3">
      <c r="A46" s="233" t="s">
        <v>94</v>
      </c>
      <c r="B46" s="233" t="s">
        <v>16</v>
      </c>
      <c r="C46" s="295">
        <v>0.11600000000000001</v>
      </c>
      <c r="D46" s="288"/>
      <c r="E46" s="288"/>
      <c r="F46" s="288"/>
      <c r="G46" s="288"/>
      <c r="H46" s="242"/>
      <c r="I46" s="242"/>
      <c r="J46" s="289"/>
      <c r="K46" s="242"/>
      <c r="L46" s="296">
        <v>0</v>
      </c>
      <c r="M46" s="294"/>
    </row>
    <row r="47" spans="1:16" ht="18.75" x14ac:dyDescent="0.3">
      <c r="A47" s="233" t="s">
        <v>95</v>
      </c>
      <c r="B47" s="233" t="s">
        <v>16</v>
      </c>
      <c r="C47" s="295">
        <v>2.5000000000000001E-2</v>
      </c>
      <c r="D47" s="288"/>
      <c r="E47" s="288"/>
      <c r="F47" s="288"/>
      <c r="G47" s="288"/>
      <c r="H47" s="242"/>
      <c r="I47" s="242"/>
      <c r="J47" s="289"/>
      <c r="K47" s="242"/>
      <c r="L47" s="247">
        <v>0</v>
      </c>
      <c r="M47" s="294"/>
    </row>
    <row r="48" spans="1:16" x14ac:dyDescent="0.25">
      <c r="A48" s="6"/>
      <c r="B48" s="6"/>
      <c r="C48" s="274"/>
      <c r="D48" s="275"/>
      <c r="E48" s="275"/>
      <c r="F48" s="275"/>
      <c r="G48" s="275"/>
      <c r="H48" s="6"/>
      <c r="I48" s="6"/>
      <c r="J48" s="275"/>
      <c r="K48" s="6"/>
      <c r="L48" s="6"/>
      <c r="M48" s="7"/>
    </row>
    <row r="49" spans="1:13" x14ac:dyDescent="0.25">
      <c r="A49" s="275" t="s">
        <v>56</v>
      </c>
      <c r="B49" s="275"/>
      <c r="C49" s="276"/>
      <c r="D49" s="276"/>
      <c r="E49" s="276"/>
      <c r="F49" s="275"/>
      <c r="G49" s="275"/>
      <c r="H49" s="6"/>
      <c r="I49" s="6"/>
      <c r="J49" s="275"/>
      <c r="K49" s="6"/>
      <c r="L49" s="6"/>
      <c r="M49" s="7"/>
    </row>
    <row r="50" spans="1:13" x14ac:dyDescent="0.25">
      <c r="A50" s="6"/>
      <c r="B50" s="6"/>
      <c r="C50" s="274"/>
      <c r="D50" s="275"/>
      <c r="E50" s="275"/>
      <c r="F50" s="275"/>
      <c r="G50" s="275"/>
      <c r="H50" s="6"/>
      <c r="I50" s="6"/>
      <c r="J50" s="275"/>
      <c r="K50" s="6"/>
      <c r="L50" s="6"/>
      <c r="M5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Q40" sqref="Q40"/>
    </sheetView>
  </sheetViews>
  <sheetFormatPr defaultRowHeight="15" x14ac:dyDescent="0.25"/>
  <cols>
    <col min="1" max="1" width="51.28515625" style="1" customWidth="1"/>
    <col min="2" max="2" width="14.7109375" style="4" customWidth="1"/>
    <col min="3" max="5" width="14.7109375" style="2" customWidth="1"/>
    <col min="6" max="6" width="14.7109375" style="11" customWidth="1"/>
    <col min="7" max="7" width="14.7109375" style="3" hidden="1" customWidth="1"/>
    <col min="8" max="8" width="14.7109375" style="4" hidden="1" customWidth="1"/>
    <col min="9" max="9" width="14.7109375" style="15" hidden="1" customWidth="1"/>
    <col min="10" max="10" width="14.7109375" style="16" hidden="1" customWidth="1"/>
    <col min="11" max="11" width="14.7109375" style="4" hidden="1" customWidth="1"/>
    <col min="12" max="12" width="14.7109375" style="4" customWidth="1"/>
    <col min="13" max="13" width="15.85546875" style="19" customWidth="1"/>
    <col min="14" max="14" width="14.7109375" style="19" customWidth="1"/>
  </cols>
  <sheetData>
    <row r="1" spans="1:13" x14ac:dyDescent="0.25">
      <c r="A1" s="97"/>
      <c r="B1" s="97"/>
      <c r="C1" s="349"/>
      <c r="D1" s="349"/>
      <c r="E1" s="349"/>
      <c r="F1" s="350"/>
      <c r="G1" s="351"/>
      <c r="H1" s="97"/>
      <c r="I1" s="8"/>
      <c r="J1" s="352"/>
      <c r="K1" s="97"/>
      <c r="L1" s="97"/>
      <c r="M1" s="7"/>
    </row>
    <row r="2" spans="1:13" ht="15" customHeight="1" x14ac:dyDescent="0.25">
      <c r="A2" s="121"/>
      <c r="B2" s="122" t="s">
        <v>82</v>
      </c>
      <c r="C2" s="123"/>
      <c r="D2" s="123"/>
      <c r="E2" s="122"/>
      <c r="F2" s="123"/>
      <c r="G2" s="123"/>
      <c r="H2" s="124"/>
      <c r="I2" s="123"/>
      <c r="J2" s="122"/>
      <c r="K2" s="123"/>
      <c r="L2" s="125"/>
      <c r="M2" s="125"/>
    </row>
    <row r="3" spans="1:13" s="83" customFormat="1" ht="45" customHeight="1" x14ac:dyDescent="0.25">
      <c r="A3" s="126" t="s">
        <v>0</v>
      </c>
      <c r="B3" s="126" t="s">
        <v>15</v>
      </c>
      <c r="C3" s="126" t="s">
        <v>79</v>
      </c>
      <c r="D3" s="126" t="s">
        <v>33</v>
      </c>
      <c r="E3" s="126" t="s">
        <v>37</v>
      </c>
      <c r="F3" s="126" t="s">
        <v>38</v>
      </c>
      <c r="G3" s="126" t="s">
        <v>1</v>
      </c>
      <c r="H3" s="127" t="s">
        <v>2</v>
      </c>
      <c r="I3" s="127" t="s">
        <v>3</v>
      </c>
      <c r="J3" s="127" t="s">
        <v>86</v>
      </c>
      <c r="K3" s="127" t="s">
        <v>87</v>
      </c>
      <c r="L3" s="127" t="s">
        <v>80</v>
      </c>
      <c r="M3" s="128" t="s">
        <v>36</v>
      </c>
    </row>
    <row r="4" spans="1:13" s="85" customFormat="1" ht="15" customHeight="1" x14ac:dyDescent="0.25">
      <c r="A4" s="129" t="s">
        <v>40</v>
      </c>
      <c r="B4" s="130"/>
      <c r="C4" s="130"/>
      <c r="D4" s="130"/>
      <c r="E4" s="130"/>
      <c r="F4" s="130"/>
      <c r="G4" s="130"/>
      <c r="H4" s="131"/>
      <c r="I4" s="131"/>
      <c r="J4" s="131"/>
      <c r="K4" s="131"/>
      <c r="L4" s="132"/>
      <c r="M4" s="133"/>
    </row>
    <row r="5" spans="1:13" ht="15" customHeight="1" x14ac:dyDescent="0.25">
      <c r="A5" s="232" t="s">
        <v>18</v>
      </c>
      <c r="B5" s="334" t="s">
        <v>35</v>
      </c>
      <c r="C5" s="234">
        <v>228</v>
      </c>
      <c r="D5" s="234">
        <f>ROUND(G5/26,2)</f>
        <v>105.23</v>
      </c>
      <c r="E5" s="234">
        <f>ROUND(I5/26,2)</f>
        <v>68.400000000000006</v>
      </c>
      <c r="F5" s="297">
        <f>ROUND(H5/26,2)</f>
        <v>36.83</v>
      </c>
      <c r="G5" s="235">
        <f>ROUND(C5*12,2)</f>
        <v>2736</v>
      </c>
      <c r="H5" s="237">
        <f>ROUND(G5*0.35,2)</f>
        <v>957.6</v>
      </c>
      <c r="I5" s="238">
        <f>ROUND(G5-H5,2)</f>
        <v>1778.4</v>
      </c>
      <c r="J5" s="239">
        <f>ROUND(H5/26,2)</f>
        <v>36.83</v>
      </c>
      <c r="K5" s="240">
        <v>36.99</v>
      </c>
      <c r="L5" s="240">
        <f>J5-K5</f>
        <v>-0.16000000000000369</v>
      </c>
      <c r="M5" s="335">
        <f>ROUND(C5*1.02,2)</f>
        <v>232.56</v>
      </c>
    </row>
    <row r="6" spans="1:13" ht="15" customHeight="1" x14ac:dyDescent="0.25">
      <c r="A6" s="242" t="s">
        <v>19</v>
      </c>
      <c r="B6" s="334" t="s">
        <v>35</v>
      </c>
      <c r="C6" s="243">
        <v>524.73</v>
      </c>
      <c r="D6" s="234">
        <f>ROUND(G6/26,2)</f>
        <v>242.18</v>
      </c>
      <c r="E6" s="234">
        <f>ROUND(I6/26,2)</f>
        <v>157.41999999999999</v>
      </c>
      <c r="F6" s="297">
        <f>ROUND(H6/26,2)</f>
        <v>84.76</v>
      </c>
      <c r="G6" s="235">
        <f>ROUND(C6*12,2)</f>
        <v>6296.76</v>
      </c>
      <c r="H6" s="237">
        <f>ROUND(G6*0.35,2)</f>
        <v>2203.87</v>
      </c>
      <c r="I6" s="238">
        <f>ROUND(G6-H6,2)</f>
        <v>4092.89</v>
      </c>
      <c r="J6" s="239">
        <f>ROUND(H6/26,2)</f>
        <v>84.76</v>
      </c>
      <c r="K6" s="240">
        <v>89.21</v>
      </c>
      <c r="L6" s="250">
        <f>J6-K6</f>
        <v>-4.4499999999999886</v>
      </c>
      <c r="M6" s="335">
        <f t="shared" ref="M6:M7" si="0">ROUND(C6*1.02,2)</f>
        <v>535.22</v>
      </c>
    </row>
    <row r="7" spans="1:13" ht="15" customHeight="1" x14ac:dyDescent="0.25">
      <c r="A7" s="242" t="s">
        <v>23</v>
      </c>
      <c r="B7" s="334" t="s">
        <v>35</v>
      </c>
      <c r="C7" s="243">
        <v>588</v>
      </c>
      <c r="D7" s="234">
        <f>ROUND(G7/26,2)</f>
        <v>271.38</v>
      </c>
      <c r="E7" s="234">
        <f>ROUND(I7/26,2)</f>
        <v>176.4</v>
      </c>
      <c r="F7" s="297">
        <f>ROUND(H7/26,2)</f>
        <v>94.98</v>
      </c>
      <c r="G7" s="235">
        <f>ROUND(C7*12,2)</f>
        <v>7056</v>
      </c>
      <c r="H7" s="237">
        <f>ROUND(G7*0.35,2)</f>
        <v>2469.6</v>
      </c>
      <c r="I7" s="238">
        <f>ROUND(G7-H7,2)</f>
        <v>4586.3999999999996</v>
      </c>
      <c r="J7" s="239">
        <f>ROUND(H7/26,2)</f>
        <v>94.98</v>
      </c>
      <c r="K7" s="240">
        <v>94.98</v>
      </c>
      <c r="L7" s="250">
        <f>J7-K7</f>
        <v>0</v>
      </c>
      <c r="M7" s="335">
        <f t="shared" si="0"/>
        <v>599.76</v>
      </c>
    </row>
    <row r="8" spans="1:13" s="85" customFormat="1" ht="15" customHeight="1" x14ac:dyDescent="0.25">
      <c r="A8" s="145" t="s">
        <v>41</v>
      </c>
      <c r="B8" s="146"/>
      <c r="C8" s="147"/>
      <c r="D8" s="148"/>
      <c r="E8" s="148"/>
      <c r="F8" s="149"/>
      <c r="G8" s="150"/>
      <c r="H8" s="150"/>
      <c r="I8" s="150"/>
      <c r="J8" s="151"/>
      <c r="K8" s="150"/>
      <c r="L8" s="133"/>
      <c r="M8" s="152"/>
    </row>
    <row r="9" spans="1:13" ht="15" customHeight="1" x14ac:dyDescent="0.25">
      <c r="A9" s="232" t="s">
        <v>18</v>
      </c>
      <c r="B9" s="334" t="s">
        <v>35</v>
      </c>
      <c r="C9" s="336">
        <v>456</v>
      </c>
      <c r="D9" s="234">
        <f>ROUND(G9/26,2)</f>
        <v>210.46</v>
      </c>
      <c r="E9" s="234">
        <f>ROUND(I9/26,2)</f>
        <v>136.80000000000001</v>
      </c>
      <c r="F9" s="297">
        <f>ROUND(H9/26,2)</f>
        <v>73.66</v>
      </c>
      <c r="G9" s="235">
        <f>ROUND(C9*12,2)</f>
        <v>5472</v>
      </c>
      <c r="H9" s="237">
        <f>ROUND(G9*0.35,2)</f>
        <v>1915.2</v>
      </c>
      <c r="I9" s="238">
        <f>ROUND(G9-H9,2)</f>
        <v>3556.8</v>
      </c>
      <c r="J9" s="239">
        <f>ROUND(H9/26,2)</f>
        <v>73.66</v>
      </c>
      <c r="K9" s="240">
        <v>73.98</v>
      </c>
      <c r="L9" s="240">
        <f>J9-K9</f>
        <v>-0.32000000000000739</v>
      </c>
      <c r="M9" s="335">
        <f t="shared" ref="M9:M11" si="1">ROUND(C9*1.02,2)</f>
        <v>465.12</v>
      </c>
    </row>
    <row r="10" spans="1:13" ht="15" customHeight="1" x14ac:dyDescent="0.25">
      <c r="A10" s="242" t="s">
        <v>19</v>
      </c>
      <c r="B10" s="334" t="s">
        <v>35</v>
      </c>
      <c r="C10" s="243">
        <v>1049.46</v>
      </c>
      <c r="D10" s="234">
        <f>ROUND(G10/26,2)</f>
        <v>484.37</v>
      </c>
      <c r="E10" s="234">
        <f>ROUND(I10/26,2)</f>
        <v>314.83999999999997</v>
      </c>
      <c r="F10" s="297">
        <f>ROUND(H10/26,2)</f>
        <v>169.53</v>
      </c>
      <c r="G10" s="235">
        <f>ROUND(C10*12,2)</f>
        <v>12593.52</v>
      </c>
      <c r="H10" s="237">
        <f>ROUND(G10*0.35,2)</f>
        <v>4407.7299999999996</v>
      </c>
      <c r="I10" s="238">
        <f>ROUND(G10-H10,2)</f>
        <v>8185.79</v>
      </c>
      <c r="J10" s="239">
        <f>ROUND(H10/26,2)</f>
        <v>169.53</v>
      </c>
      <c r="K10" s="240">
        <v>178.42</v>
      </c>
      <c r="L10" s="250">
        <f>J10-K10</f>
        <v>-8.8899999999999864</v>
      </c>
      <c r="M10" s="335">
        <f t="shared" si="1"/>
        <v>1070.45</v>
      </c>
    </row>
    <row r="11" spans="1:13" ht="15" customHeight="1" x14ac:dyDescent="0.25">
      <c r="A11" s="242" t="s">
        <v>23</v>
      </c>
      <c r="B11" s="334" t="s">
        <v>35</v>
      </c>
      <c r="C11" s="243">
        <v>1176</v>
      </c>
      <c r="D11" s="234">
        <f>ROUND(G11/26,2)</f>
        <v>542.77</v>
      </c>
      <c r="E11" s="234">
        <f>ROUND(I11/26,2)</f>
        <v>352.8</v>
      </c>
      <c r="F11" s="297">
        <f>ROUND(H11/26,2)</f>
        <v>189.97</v>
      </c>
      <c r="G11" s="235">
        <f>ROUND(C11*12,2)</f>
        <v>14112</v>
      </c>
      <c r="H11" s="237">
        <f>ROUND(G11*0.35,2)</f>
        <v>4939.2</v>
      </c>
      <c r="I11" s="238">
        <f>ROUND(G11-H11,2)</f>
        <v>9172.7999999999993</v>
      </c>
      <c r="J11" s="239">
        <f>ROUND(H11/26,2)</f>
        <v>189.97</v>
      </c>
      <c r="K11" s="240">
        <v>189.97</v>
      </c>
      <c r="L11" s="250">
        <f>J11-K11</f>
        <v>0</v>
      </c>
      <c r="M11" s="335">
        <f t="shared" si="1"/>
        <v>1199.52</v>
      </c>
    </row>
    <row r="12" spans="1:13" s="85" customFormat="1" ht="15" customHeight="1" x14ac:dyDescent="0.25">
      <c r="A12" s="145" t="s">
        <v>49</v>
      </c>
      <c r="B12" s="146"/>
      <c r="C12" s="147"/>
      <c r="D12" s="148"/>
      <c r="E12" s="148"/>
      <c r="F12" s="149"/>
      <c r="G12" s="150"/>
      <c r="H12" s="150"/>
      <c r="I12" s="150"/>
      <c r="J12" s="151"/>
      <c r="K12" s="150"/>
      <c r="L12" s="133"/>
      <c r="M12" s="152"/>
    </row>
    <row r="13" spans="1:13" ht="15" customHeight="1" x14ac:dyDescent="0.25">
      <c r="A13" s="232" t="s">
        <v>18</v>
      </c>
      <c r="B13" s="334" t="s">
        <v>35</v>
      </c>
      <c r="C13" s="336">
        <v>684</v>
      </c>
      <c r="D13" s="234">
        <f>ROUND(G13/26,2)</f>
        <v>315.69</v>
      </c>
      <c r="E13" s="234">
        <f>ROUND(I13/26,2)</f>
        <v>205.2</v>
      </c>
      <c r="F13" s="297">
        <f>ROUND(H13/26,2)</f>
        <v>110.49</v>
      </c>
      <c r="G13" s="235">
        <f>ROUND(C13*12,2)</f>
        <v>8208</v>
      </c>
      <c r="H13" s="237">
        <f>ROUND(G13*0.35,2)</f>
        <v>2872.8</v>
      </c>
      <c r="I13" s="238">
        <f>ROUND(G13-H13,2)</f>
        <v>5335.2</v>
      </c>
      <c r="J13" s="239">
        <f>ROUND(H13/26,2)</f>
        <v>110.49</v>
      </c>
      <c r="K13" s="240">
        <v>110.98</v>
      </c>
      <c r="L13" s="240">
        <f>J13-K13</f>
        <v>-0.49000000000000909</v>
      </c>
      <c r="M13" s="335">
        <f>ROUND(C13*1.02,2)</f>
        <v>697.68</v>
      </c>
    </row>
    <row r="14" spans="1:13" ht="15" customHeight="1" x14ac:dyDescent="0.25">
      <c r="A14" s="242" t="s">
        <v>19</v>
      </c>
      <c r="B14" s="334" t="s">
        <v>35</v>
      </c>
      <c r="C14" s="243">
        <v>1574.18</v>
      </c>
      <c r="D14" s="234">
        <f>ROUND(G14/26,2)</f>
        <v>726.54</v>
      </c>
      <c r="E14" s="234">
        <f>ROUND(I14/26,2)</f>
        <v>472.25</v>
      </c>
      <c r="F14" s="297">
        <f>ROUND(H14/26,2)</f>
        <v>254.29</v>
      </c>
      <c r="G14" s="235">
        <f>ROUND(C14*12,2)</f>
        <v>18890.16</v>
      </c>
      <c r="H14" s="237">
        <f>ROUND(G14*0.35,2)</f>
        <v>6611.56</v>
      </c>
      <c r="I14" s="238">
        <f>ROUND(G14-H14,2)</f>
        <v>12278.6</v>
      </c>
      <c r="J14" s="239">
        <f>ROUND(H14/26,2)</f>
        <v>254.29</v>
      </c>
      <c r="K14" s="240">
        <v>267.63</v>
      </c>
      <c r="L14" s="250">
        <f>J14-K14</f>
        <v>-13.340000000000003</v>
      </c>
      <c r="M14" s="335">
        <f t="shared" ref="M14:M15" si="2">ROUND(C14*1.02,2)</f>
        <v>1605.66</v>
      </c>
    </row>
    <row r="15" spans="1:13" ht="15" customHeight="1" x14ac:dyDescent="0.25">
      <c r="A15" s="242" t="s">
        <v>23</v>
      </c>
      <c r="B15" s="334" t="s">
        <v>35</v>
      </c>
      <c r="C15" s="243">
        <v>1764</v>
      </c>
      <c r="D15" s="234">
        <f>ROUND(G15/26,2)</f>
        <v>814.15</v>
      </c>
      <c r="E15" s="234">
        <f>ROUND(I15/26,2)</f>
        <v>529.20000000000005</v>
      </c>
      <c r="F15" s="297">
        <f>ROUND(H15/26,2)</f>
        <v>284.95</v>
      </c>
      <c r="G15" s="235">
        <f>ROUND(C15*12,2)</f>
        <v>21168</v>
      </c>
      <c r="H15" s="237">
        <f>ROUND(G15*0.35,2)</f>
        <v>7408.8</v>
      </c>
      <c r="I15" s="238">
        <f>ROUND(G15-H15,2)</f>
        <v>13759.2</v>
      </c>
      <c r="J15" s="239">
        <f>ROUND(H15/26,2)</f>
        <v>284.95</v>
      </c>
      <c r="K15" s="240">
        <v>284.95</v>
      </c>
      <c r="L15" s="250">
        <f>J15-K15</f>
        <v>0</v>
      </c>
      <c r="M15" s="335">
        <f t="shared" si="2"/>
        <v>1799.28</v>
      </c>
    </row>
    <row r="16" spans="1:13" x14ac:dyDescent="0.25">
      <c r="A16" s="8"/>
      <c r="B16" s="17"/>
      <c r="C16" s="106"/>
      <c r="D16" s="106"/>
      <c r="E16" s="106"/>
      <c r="F16" s="107"/>
      <c r="G16" s="21"/>
      <c r="H16" s="108"/>
      <c r="I16" s="109"/>
      <c r="J16" s="102"/>
      <c r="K16" s="98"/>
      <c r="L16" s="98"/>
    </row>
    <row r="17" spans="1:12" x14ac:dyDescent="0.25">
      <c r="A17" s="110"/>
      <c r="B17" s="111"/>
      <c r="C17" s="112"/>
      <c r="D17" s="112"/>
      <c r="E17" s="112"/>
      <c r="F17" s="113"/>
      <c r="G17" s="21"/>
      <c r="H17" s="108"/>
      <c r="I17" s="109"/>
      <c r="J17" s="102"/>
      <c r="K17" s="98"/>
      <c r="L17" s="98"/>
    </row>
    <row r="18" spans="1:12" ht="15.75" x14ac:dyDescent="0.25">
      <c r="A18" s="9"/>
      <c r="B18" s="22"/>
    </row>
    <row r="19" spans="1:12" ht="15.75" x14ac:dyDescent="0.25">
      <c r="A19" s="9"/>
      <c r="B19" s="22"/>
    </row>
    <row r="20" spans="1:12" x14ac:dyDescent="0.25">
      <c r="A20" s="6"/>
    </row>
    <row r="21" spans="1:12" x14ac:dyDescent="0.25">
      <c r="A21" s="6"/>
    </row>
    <row r="22" spans="1:12" x14ac:dyDescent="0.25">
      <c r="A22" s="6"/>
    </row>
    <row r="23" spans="1:12" x14ac:dyDescent="0.25">
      <c r="A23" s="4"/>
    </row>
    <row r="24" spans="1:12" x14ac:dyDescent="0.25">
      <c r="A24" s="4"/>
    </row>
    <row r="25" spans="1:12" x14ac:dyDescent="0.25">
      <c r="A25" s="4"/>
    </row>
    <row r="26" spans="1:12" x14ac:dyDescent="0.25">
      <c r="A26" s="4"/>
    </row>
    <row r="27" spans="1:12" x14ac:dyDescent="0.25">
      <c r="A27" s="4"/>
    </row>
    <row r="28" spans="1:12" x14ac:dyDescent="0.25">
      <c r="A28" s="4"/>
    </row>
    <row r="29" spans="1:12" x14ac:dyDescent="0.25">
      <c r="A29" s="4"/>
    </row>
    <row r="30" spans="1:12" x14ac:dyDescent="0.25">
      <c r="A30" s="4"/>
    </row>
    <row r="31" spans="1:12" x14ac:dyDescent="0.25">
      <c r="A31" s="4"/>
    </row>
    <row r="32" spans="1:12" x14ac:dyDescent="0.25">
      <c r="A32" s="4"/>
    </row>
    <row r="33" spans="1:1" x14ac:dyDescent="0.25">
      <c r="A33" s="4"/>
    </row>
    <row r="34" spans="1:1" x14ac:dyDescent="0.25">
      <c r="A34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8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M87"/>
    </sheetView>
  </sheetViews>
  <sheetFormatPr defaultRowHeight="15" x14ac:dyDescent="0.25"/>
  <cols>
    <col min="1" max="1" width="59" style="1" customWidth="1"/>
    <col min="2" max="2" width="14.7109375" style="4" customWidth="1"/>
    <col min="3" max="5" width="14.7109375" style="2" customWidth="1"/>
    <col min="6" max="6" width="14.7109375" style="11" customWidth="1"/>
    <col min="7" max="7" width="14.7109375" style="3" hidden="1" customWidth="1"/>
    <col min="8" max="8" width="14.7109375" style="4" hidden="1" customWidth="1"/>
    <col min="9" max="9" width="14.7109375" style="15" hidden="1" customWidth="1"/>
    <col min="10" max="10" width="14.7109375" style="16" hidden="1" customWidth="1"/>
    <col min="11" max="11" width="14.7109375" style="4" hidden="1" customWidth="1"/>
    <col min="12" max="12" width="14.7109375" style="4" customWidth="1"/>
    <col min="13" max="13" width="14.7109375" style="19" customWidth="1"/>
    <col min="14" max="14" width="11.5703125" style="7" customWidth="1"/>
    <col min="16" max="16" width="18.7109375" customWidth="1"/>
  </cols>
  <sheetData>
    <row r="1" spans="1:16" x14ac:dyDescent="0.25">
      <c r="A1" s="97"/>
      <c r="B1" s="98"/>
      <c r="C1" s="99"/>
      <c r="D1" s="99"/>
      <c r="E1" s="99"/>
      <c r="F1" s="100"/>
      <c r="G1" s="101"/>
      <c r="H1" s="98"/>
      <c r="I1" s="17"/>
      <c r="J1" s="102"/>
      <c r="K1" s="98"/>
      <c r="L1" s="98"/>
      <c r="M1" s="103"/>
      <c r="N1" s="104"/>
    </row>
    <row r="2" spans="1:16" ht="15" customHeight="1" x14ac:dyDescent="0.25">
      <c r="A2" s="177"/>
      <c r="B2" s="177" t="s">
        <v>88</v>
      </c>
      <c r="C2" s="178"/>
      <c r="D2" s="122"/>
      <c r="E2" s="122"/>
      <c r="F2" s="122"/>
      <c r="G2" s="122"/>
      <c r="H2" s="122"/>
      <c r="I2" s="122"/>
      <c r="J2" s="122"/>
      <c r="K2" s="179"/>
      <c r="L2" s="180"/>
      <c r="M2" s="181"/>
      <c r="N2" s="104"/>
    </row>
    <row r="3" spans="1:16" ht="48" customHeight="1" x14ac:dyDescent="0.25">
      <c r="A3" s="182" t="s">
        <v>0</v>
      </c>
      <c r="B3" s="182" t="s">
        <v>32</v>
      </c>
      <c r="C3" s="183" t="s">
        <v>79</v>
      </c>
      <c r="D3" s="182" t="s">
        <v>33</v>
      </c>
      <c r="E3" s="182" t="s">
        <v>54</v>
      </c>
      <c r="F3" s="182" t="s">
        <v>55</v>
      </c>
      <c r="G3" s="182" t="s">
        <v>1</v>
      </c>
      <c r="H3" s="184" t="s">
        <v>2</v>
      </c>
      <c r="I3" s="184" t="s">
        <v>3</v>
      </c>
      <c r="J3" s="184" t="s">
        <v>84</v>
      </c>
      <c r="K3" s="184" t="s">
        <v>85</v>
      </c>
      <c r="L3" s="184" t="s">
        <v>80</v>
      </c>
      <c r="M3" s="189" t="s">
        <v>58</v>
      </c>
      <c r="N3" s="104"/>
    </row>
    <row r="4" spans="1:16" ht="15.75" x14ac:dyDescent="0.25">
      <c r="A4" s="176" t="s">
        <v>53</v>
      </c>
      <c r="B4" s="130"/>
      <c r="C4" s="185"/>
      <c r="D4" s="130"/>
      <c r="E4" s="130"/>
      <c r="F4" s="130"/>
      <c r="G4" s="130"/>
      <c r="H4" s="131"/>
      <c r="I4" s="131"/>
      <c r="J4" s="131"/>
      <c r="K4" s="131"/>
      <c r="L4" s="132"/>
      <c r="M4" s="133"/>
      <c r="N4" s="104"/>
    </row>
    <row r="5" spans="1:16" ht="18" x14ac:dyDescent="0.25">
      <c r="A5" s="232" t="s">
        <v>18</v>
      </c>
      <c r="B5" s="242" t="s">
        <v>57</v>
      </c>
      <c r="C5" s="234">
        <v>228</v>
      </c>
      <c r="D5" s="234">
        <f>ROUND(G5/26,2)</f>
        <v>105.23</v>
      </c>
      <c r="E5" s="234">
        <f>ROUND(0.85*D5,2)</f>
        <v>89.45</v>
      </c>
      <c r="F5" s="297">
        <f>ROUND(0.15*D5,2)</f>
        <v>15.78</v>
      </c>
      <c r="G5" s="235">
        <f>ROUND(C5*12,2)</f>
        <v>2736</v>
      </c>
      <c r="H5" s="237">
        <f>ROUND(G5*0.15,2)</f>
        <v>410.4</v>
      </c>
      <c r="I5" s="238">
        <f>ROUND(G5-H5,2)</f>
        <v>2325.6</v>
      </c>
      <c r="J5" s="239">
        <f>H5/26</f>
        <v>15.784615384615384</v>
      </c>
      <c r="K5" s="240">
        <v>15.853846153846153</v>
      </c>
      <c r="L5" s="240">
        <f>J5-K5</f>
        <v>-6.9230769230768985E-2</v>
      </c>
      <c r="M5" s="241">
        <f>ROUND(C5*1.02,2)</f>
        <v>232.56</v>
      </c>
      <c r="N5" s="104"/>
      <c r="O5" s="79"/>
    </row>
    <row r="6" spans="1:16" ht="18" x14ac:dyDescent="0.25">
      <c r="A6" s="242" t="s">
        <v>19</v>
      </c>
      <c r="B6" s="242" t="s">
        <v>57</v>
      </c>
      <c r="C6" s="243">
        <v>524.73</v>
      </c>
      <c r="D6" s="234">
        <f t="shared" ref="D6:D7" si="0">ROUND(G6/26,2)</f>
        <v>242.18</v>
      </c>
      <c r="E6" s="234">
        <f t="shared" ref="E6:E7" si="1">ROUND(0.85*D6,2)</f>
        <v>205.85</v>
      </c>
      <c r="F6" s="297">
        <f t="shared" ref="F6:F7" si="2">ROUND(0.15*D6,2)</f>
        <v>36.33</v>
      </c>
      <c r="G6" s="235">
        <f t="shared" ref="G6:G7" si="3">ROUND(C6*12,2)</f>
        <v>6296.76</v>
      </c>
      <c r="H6" s="237">
        <f t="shared" ref="H6:H7" si="4">ROUND(G6*0.15,2)</f>
        <v>944.51</v>
      </c>
      <c r="I6" s="238">
        <f t="shared" ref="I6:I7" si="5">ROUND(G6-H6,2)</f>
        <v>5352.25</v>
      </c>
      <c r="J6" s="239">
        <f t="shared" ref="J6:J11" si="6">H6/26</f>
        <v>36.327307692307691</v>
      </c>
      <c r="K6" s="240">
        <v>38.232692307692304</v>
      </c>
      <c r="L6" s="250">
        <f t="shared" ref="L6:L11" si="7">J6-K6</f>
        <v>-1.9053846153846123</v>
      </c>
      <c r="M6" s="241">
        <f t="shared" ref="M6:M11" si="8">ROUND(C6*1.02,2)</f>
        <v>535.22</v>
      </c>
      <c r="N6" s="104"/>
      <c r="O6" s="79"/>
    </row>
    <row r="7" spans="1:16" ht="18" x14ac:dyDescent="0.25">
      <c r="A7" s="244" t="s">
        <v>20</v>
      </c>
      <c r="B7" s="242" t="s">
        <v>57</v>
      </c>
      <c r="C7" s="243">
        <v>305.64</v>
      </c>
      <c r="D7" s="234">
        <f t="shared" si="0"/>
        <v>141.06</v>
      </c>
      <c r="E7" s="234">
        <f t="shared" si="1"/>
        <v>119.9</v>
      </c>
      <c r="F7" s="297">
        <f t="shared" si="2"/>
        <v>21.16</v>
      </c>
      <c r="G7" s="235">
        <f t="shared" si="3"/>
        <v>3667.68</v>
      </c>
      <c r="H7" s="237">
        <f t="shared" si="4"/>
        <v>550.15</v>
      </c>
      <c r="I7" s="238">
        <f t="shared" si="5"/>
        <v>3117.53</v>
      </c>
      <c r="J7" s="239">
        <f t="shared" si="6"/>
        <v>21.159615384615385</v>
      </c>
      <c r="K7" s="240">
        <v>21.906153846153845</v>
      </c>
      <c r="L7" s="250">
        <f t="shared" si="7"/>
        <v>-0.74653846153846004</v>
      </c>
      <c r="M7" s="241">
        <f t="shared" si="8"/>
        <v>311.75</v>
      </c>
      <c r="N7" s="104"/>
      <c r="O7" s="79"/>
    </row>
    <row r="8" spans="1:16" ht="18" x14ac:dyDescent="0.25">
      <c r="A8" s="242" t="s">
        <v>21</v>
      </c>
      <c r="B8" s="242" t="s">
        <v>16</v>
      </c>
      <c r="C8" s="243">
        <v>715.44</v>
      </c>
      <c r="D8" s="234">
        <f>ROUND(G8/26,2)</f>
        <v>330.2</v>
      </c>
      <c r="E8" s="243">
        <f>ROUND(0.8*D8,2)</f>
        <v>264.16000000000003</v>
      </c>
      <c r="F8" s="298">
        <f>ROUND(0.2*D8,2)</f>
        <v>66.040000000000006</v>
      </c>
      <c r="G8" s="245">
        <f>ROUND(C8*12,2)</f>
        <v>8585.2800000000007</v>
      </c>
      <c r="H8" s="247">
        <f>ROUND(G8*0.2,2)</f>
        <v>1717.06</v>
      </c>
      <c r="I8" s="248">
        <f>ROUND(G8-H8,2)</f>
        <v>6868.22</v>
      </c>
      <c r="J8" s="249">
        <f t="shared" si="6"/>
        <v>66.040769230769229</v>
      </c>
      <c r="K8" s="240">
        <v>60.92307692307692</v>
      </c>
      <c r="L8" s="250">
        <f t="shared" si="7"/>
        <v>5.1176923076923089</v>
      </c>
      <c r="M8" s="241">
        <f t="shared" si="8"/>
        <v>729.75</v>
      </c>
      <c r="N8" s="104"/>
      <c r="O8" s="79"/>
    </row>
    <row r="9" spans="1:16" ht="18" x14ac:dyDescent="0.25">
      <c r="A9" s="244" t="s">
        <v>22</v>
      </c>
      <c r="B9" s="242" t="s">
        <v>16</v>
      </c>
      <c r="C9" s="243">
        <v>276.41000000000003</v>
      </c>
      <c r="D9" s="234">
        <f t="shared" ref="D9:D11" si="9">ROUND(G9/26,2)</f>
        <v>127.57</v>
      </c>
      <c r="E9" s="243">
        <f t="shared" ref="E9:E11" si="10">ROUND(0.8*D9,2)</f>
        <v>102.06</v>
      </c>
      <c r="F9" s="298">
        <f t="shared" ref="F9:F11" si="11">ROUND(0.2*D9,2)</f>
        <v>25.51</v>
      </c>
      <c r="G9" s="245">
        <f t="shared" ref="G9:G11" si="12">ROUND(C9*12,2)</f>
        <v>3316.92</v>
      </c>
      <c r="H9" s="247">
        <f t="shared" ref="H9:H11" si="13">ROUND(G9*0.2,2)</f>
        <v>663.38</v>
      </c>
      <c r="I9" s="248">
        <f t="shared" ref="I9:I11" si="14">ROUND(G9-H9,2)</f>
        <v>2653.54</v>
      </c>
      <c r="J9" s="249">
        <f t="shared" si="6"/>
        <v>25.514615384615386</v>
      </c>
      <c r="K9" s="240">
        <v>24.184615384615384</v>
      </c>
      <c r="L9" s="250">
        <f t="shared" si="7"/>
        <v>1.3300000000000018</v>
      </c>
      <c r="M9" s="241">
        <f t="shared" si="8"/>
        <v>281.94</v>
      </c>
      <c r="N9" s="104"/>
      <c r="O9" s="79"/>
    </row>
    <row r="10" spans="1:16" ht="18" x14ac:dyDescent="0.25">
      <c r="A10" s="242" t="s">
        <v>23</v>
      </c>
      <c r="B10" s="242" t="s">
        <v>16</v>
      </c>
      <c r="C10" s="243">
        <v>588</v>
      </c>
      <c r="D10" s="234">
        <f t="shared" si="9"/>
        <v>271.38</v>
      </c>
      <c r="E10" s="243">
        <f t="shared" si="10"/>
        <v>217.1</v>
      </c>
      <c r="F10" s="298">
        <f t="shared" si="11"/>
        <v>54.28</v>
      </c>
      <c r="G10" s="245">
        <f t="shared" si="12"/>
        <v>7056</v>
      </c>
      <c r="H10" s="247">
        <f t="shared" si="13"/>
        <v>1411.2</v>
      </c>
      <c r="I10" s="248">
        <f t="shared" si="14"/>
        <v>5644.8</v>
      </c>
      <c r="J10" s="249">
        <f t="shared" si="6"/>
        <v>54.276923076923076</v>
      </c>
      <c r="K10" s="240">
        <v>54.276923076923076</v>
      </c>
      <c r="L10" s="250">
        <f t="shared" si="7"/>
        <v>0</v>
      </c>
      <c r="M10" s="241">
        <f t="shared" si="8"/>
        <v>599.76</v>
      </c>
      <c r="N10" s="104"/>
      <c r="O10" s="79"/>
    </row>
    <row r="11" spans="1:16" ht="18" x14ac:dyDescent="0.25">
      <c r="A11" s="242" t="s">
        <v>24</v>
      </c>
      <c r="B11" s="242" t="s">
        <v>16</v>
      </c>
      <c r="C11" s="243">
        <v>410.28</v>
      </c>
      <c r="D11" s="234">
        <f t="shared" si="9"/>
        <v>189.36</v>
      </c>
      <c r="E11" s="243">
        <f t="shared" si="10"/>
        <v>151.49</v>
      </c>
      <c r="F11" s="298">
        <f t="shared" si="11"/>
        <v>37.869999999999997</v>
      </c>
      <c r="G11" s="245">
        <f t="shared" si="12"/>
        <v>4923.3599999999997</v>
      </c>
      <c r="H11" s="247">
        <f t="shared" si="13"/>
        <v>984.67</v>
      </c>
      <c r="I11" s="248">
        <f t="shared" si="14"/>
        <v>3938.69</v>
      </c>
      <c r="J11" s="249">
        <f t="shared" si="6"/>
        <v>37.871923076923075</v>
      </c>
      <c r="K11" s="240">
        <v>36</v>
      </c>
      <c r="L11" s="250">
        <f t="shared" si="7"/>
        <v>1.8719230769230748</v>
      </c>
      <c r="M11" s="241">
        <f t="shared" si="8"/>
        <v>418.49</v>
      </c>
      <c r="N11" s="104"/>
      <c r="O11" s="79"/>
      <c r="P11" s="12"/>
    </row>
    <row r="12" spans="1:16" s="13" customFormat="1" ht="14.45" hidden="1" customHeight="1" x14ac:dyDescent="0.25">
      <c r="A12" s="299" t="s">
        <v>25</v>
      </c>
      <c r="B12" s="242" t="s">
        <v>16</v>
      </c>
      <c r="C12" s="243">
        <v>32.26</v>
      </c>
      <c r="D12" s="234">
        <f t="shared" ref="D12:D26" si="15">G12/26</f>
        <v>14.889230769230769</v>
      </c>
      <c r="E12" s="243">
        <f t="shared" ref="E12:E14" si="16">0.8*D12</f>
        <v>11.911384615384616</v>
      </c>
      <c r="F12" s="298">
        <f t="shared" ref="F12:F14" si="17">0.2*D12</f>
        <v>2.977846153846154</v>
      </c>
      <c r="G12" s="245">
        <f t="shared" ref="G12:G26" si="18">C12*12</f>
        <v>387.12</v>
      </c>
      <c r="H12" s="247">
        <f t="shared" ref="H12:H14" si="19">G12*0.2</f>
        <v>77.424000000000007</v>
      </c>
      <c r="I12" s="248">
        <f t="shared" ref="I12:I14" si="20">G12-H12</f>
        <v>309.69600000000003</v>
      </c>
      <c r="J12" s="249">
        <f t="shared" ref="J12:J26" si="21">H12/26</f>
        <v>2.977846153846154</v>
      </c>
      <c r="K12" s="250">
        <v>3.76</v>
      </c>
      <c r="L12" s="250">
        <f t="shared" ref="L12:L26" si="22">J12-K12</f>
        <v>-0.78215384615384576</v>
      </c>
      <c r="M12" s="241">
        <f t="shared" ref="M12:M62" si="23">C12*1.02</f>
        <v>32.905200000000001</v>
      </c>
      <c r="N12" s="105"/>
    </row>
    <row r="13" spans="1:16" s="13" customFormat="1" ht="14.45" hidden="1" customHeight="1" x14ac:dyDescent="0.25">
      <c r="A13" s="299" t="s">
        <v>26</v>
      </c>
      <c r="B13" s="242" t="s">
        <v>16</v>
      </c>
      <c r="C13" s="243">
        <v>18.05</v>
      </c>
      <c r="D13" s="234">
        <f t="shared" si="15"/>
        <v>8.3307692307692314</v>
      </c>
      <c r="E13" s="243">
        <f t="shared" si="16"/>
        <v>6.6646153846153853</v>
      </c>
      <c r="F13" s="298">
        <f t="shared" si="17"/>
        <v>1.6661538461538463</v>
      </c>
      <c r="G13" s="245">
        <f t="shared" si="18"/>
        <v>216.60000000000002</v>
      </c>
      <c r="H13" s="247">
        <f t="shared" si="19"/>
        <v>43.320000000000007</v>
      </c>
      <c r="I13" s="248">
        <f t="shared" si="20"/>
        <v>173.28000000000003</v>
      </c>
      <c r="J13" s="249">
        <f t="shared" si="21"/>
        <v>1.6661538461538465</v>
      </c>
      <c r="K13" s="250">
        <v>3.76</v>
      </c>
      <c r="L13" s="250">
        <f t="shared" si="22"/>
        <v>-2.0938461538461532</v>
      </c>
      <c r="M13" s="241">
        <f t="shared" si="23"/>
        <v>18.411000000000001</v>
      </c>
      <c r="N13" s="105"/>
    </row>
    <row r="14" spans="1:16" s="13" customFormat="1" ht="14.45" hidden="1" customHeight="1" x14ac:dyDescent="0.25">
      <c r="A14" s="299" t="s">
        <v>27</v>
      </c>
      <c r="B14" s="242" t="s">
        <v>16</v>
      </c>
      <c r="C14" s="252">
        <v>3.16</v>
      </c>
      <c r="D14" s="234">
        <f t="shared" si="15"/>
        <v>1.4584615384615385</v>
      </c>
      <c r="E14" s="243">
        <f t="shared" si="16"/>
        <v>1.1667692307692308</v>
      </c>
      <c r="F14" s="298">
        <f t="shared" si="17"/>
        <v>0.2916923076923077</v>
      </c>
      <c r="G14" s="245">
        <f t="shared" si="18"/>
        <v>37.92</v>
      </c>
      <c r="H14" s="247">
        <f t="shared" si="19"/>
        <v>7.5840000000000005</v>
      </c>
      <c r="I14" s="248">
        <f t="shared" si="20"/>
        <v>30.336000000000002</v>
      </c>
      <c r="J14" s="249">
        <f t="shared" si="21"/>
        <v>0.2916923076923077</v>
      </c>
      <c r="K14" s="250">
        <v>0.36</v>
      </c>
      <c r="L14" s="250">
        <f t="shared" si="22"/>
        <v>-6.8307692307692292E-2</v>
      </c>
      <c r="M14" s="241">
        <f t="shared" si="23"/>
        <v>3.2232000000000003</v>
      </c>
      <c r="N14" s="105"/>
    </row>
    <row r="15" spans="1:16" s="13" customFormat="1" ht="14.45" hidden="1" customHeight="1" x14ac:dyDescent="0.25">
      <c r="A15" s="299" t="s">
        <v>28</v>
      </c>
      <c r="B15" s="260" t="s">
        <v>50</v>
      </c>
      <c r="C15" s="252">
        <v>5.48</v>
      </c>
      <c r="D15" s="234">
        <f t="shared" si="15"/>
        <v>2.5292307692307694</v>
      </c>
      <c r="E15" s="252">
        <f>E14</f>
        <v>1.1667692307692308</v>
      </c>
      <c r="F15" s="300">
        <f>D15-E15</f>
        <v>1.3624615384615386</v>
      </c>
      <c r="G15" s="245">
        <f t="shared" si="18"/>
        <v>65.760000000000005</v>
      </c>
      <c r="H15" s="247">
        <f>G15-I15</f>
        <v>35.42</v>
      </c>
      <c r="I15" s="248">
        <v>30.34</v>
      </c>
      <c r="J15" s="249">
        <f t="shared" si="21"/>
        <v>1.3623076923076924</v>
      </c>
      <c r="K15" s="250">
        <v>1.77</v>
      </c>
      <c r="L15" s="250">
        <f t="shared" si="22"/>
        <v>-0.40769230769230758</v>
      </c>
      <c r="M15" s="241">
        <f t="shared" si="23"/>
        <v>5.5896000000000008</v>
      </c>
      <c r="N15" s="105"/>
      <c r="P15" s="14"/>
    </row>
    <row r="16" spans="1:16" s="13" customFormat="1" ht="14.45" hidden="1" customHeight="1" x14ac:dyDescent="0.25">
      <c r="A16" s="299" t="s">
        <v>29</v>
      </c>
      <c r="B16" s="260" t="s">
        <v>50</v>
      </c>
      <c r="C16" s="252">
        <v>9.5299999999999994</v>
      </c>
      <c r="D16" s="234">
        <f t="shared" si="15"/>
        <v>4.3984615384615378</v>
      </c>
      <c r="E16" s="252">
        <f>E14</f>
        <v>1.1667692307692308</v>
      </c>
      <c r="F16" s="300">
        <f>D16-E16</f>
        <v>3.231692307692307</v>
      </c>
      <c r="G16" s="245">
        <f t="shared" si="18"/>
        <v>114.35999999999999</v>
      </c>
      <c r="H16" s="247">
        <f>G16-I16</f>
        <v>84.019999999999982</v>
      </c>
      <c r="I16" s="248">
        <v>30.34</v>
      </c>
      <c r="J16" s="249">
        <f t="shared" si="21"/>
        <v>3.2315384615384608</v>
      </c>
      <c r="K16" s="250">
        <v>3.24</v>
      </c>
      <c r="L16" s="258">
        <f t="shared" si="22"/>
        <v>-8.4615384615394085E-3</v>
      </c>
      <c r="M16" s="241">
        <f t="shared" si="23"/>
        <v>9.7205999999999992</v>
      </c>
      <c r="N16" s="105"/>
    </row>
    <row r="17" spans="1:18" ht="18" hidden="1" x14ac:dyDescent="0.25">
      <c r="A17" s="233" t="s">
        <v>25</v>
      </c>
      <c r="B17" s="242" t="s">
        <v>16</v>
      </c>
      <c r="C17" s="243">
        <v>32.26</v>
      </c>
      <c r="D17" s="234">
        <f t="shared" si="15"/>
        <v>14.889230769230769</v>
      </c>
      <c r="E17" s="243">
        <f t="shared" ref="E17:E19" si="24">0.8*D17</f>
        <v>11.911384615384616</v>
      </c>
      <c r="F17" s="298">
        <f t="shared" ref="F17:F19" si="25">0.2*D17</f>
        <v>2.977846153846154</v>
      </c>
      <c r="G17" s="245">
        <f t="shared" si="18"/>
        <v>387.12</v>
      </c>
      <c r="H17" s="247">
        <f t="shared" ref="H17:H19" si="26">G17*0.2</f>
        <v>77.424000000000007</v>
      </c>
      <c r="I17" s="248">
        <f t="shared" ref="I17:I19" si="27">G17-H17</f>
        <v>309.69600000000003</v>
      </c>
      <c r="J17" s="249">
        <f t="shared" si="21"/>
        <v>2.977846153846154</v>
      </c>
      <c r="K17" s="250">
        <v>3.76</v>
      </c>
      <c r="L17" s="250">
        <f t="shared" si="22"/>
        <v>-0.78215384615384576</v>
      </c>
      <c r="M17" s="241">
        <f t="shared" si="23"/>
        <v>32.905200000000001</v>
      </c>
      <c r="N17" s="104"/>
    </row>
    <row r="18" spans="1:18" ht="18" hidden="1" x14ac:dyDescent="0.25">
      <c r="A18" s="233" t="s">
        <v>26</v>
      </c>
      <c r="B18" s="242" t="s">
        <v>16</v>
      </c>
      <c r="C18" s="243">
        <v>18.05</v>
      </c>
      <c r="D18" s="234">
        <f t="shared" si="15"/>
        <v>8.3307692307692314</v>
      </c>
      <c r="E18" s="243">
        <f t="shared" si="24"/>
        <v>6.6646153846153853</v>
      </c>
      <c r="F18" s="298">
        <f t="shared" si="25"/>
        <v>1.6661538461538463</v>
      </c>
      <c r="G18" s="245">
        <f t="shared" si="18"/>
        <v>216.60000000000002</v>
      </c>
      <c r="H18" s="247">
        <f t="shared" si="26"/>
        <v>43.320000000000007</v>
      </c>
      <c r="I18" s="248">
        <f t="shared" si="27"/>
        <v>173.28000000000003</v>
      </c>
      <c r="J18" s="249">
        <f t="shared" si="21"/>
        <v>1.6661538461538465</v>
      </c>
      <c r="K18" s="250">
        <v>3.76</v>
      </c>
      <c r="L18" s="250">
        <f t="shared" si="22"/>
        <v>-2.0938461538461532</v>
      </c>
      <c r="M18" s="241">
        <f t="shared" si="23"/>
        <v>18.411000000000001</v>
      </c>
      <c r="N18" s="104"/>
    </row>
    <row r="19" spans="1:18" ht="18" hidden="1" x14ac:dyDescent="0.25">
      <c r="A19" s="233" t="s">
        <v>27</v>
      </c>
      <c r="B19" s="242" t="s">
        <v>16</v>
      </c>
      <c r="C19" s="252">
        <v>3.16</v>
      </c>
      <c r="D19" s="234">
        <f t="shared" si="15"/>
        <v>1.4584615384615385</v>
      </c>
      <c r="E19" s="243">
        <f t="shared" si="24"/>
        <v>1.1667692307692308</v>
      </c>
      <c r="F19" s="298">
        <f t="shared" si="25"/>
        <v>0.2916923076923077</v>
      </c>
      <c r="G19" s="245">
        <f t="shared" si="18"/>
        <v>37.92</v>
      </c>
      <c r="H19" s="247">
        <f t="shared" si="26"/>
        <v>7.5840000000000005</v>
      </c>
      <c r="I19" s="248">
        <f t="shared" si="27"/>
        <v>30.336000000000002</v>
      </c>
      <c r="J19" s="249">
        <f t="shared" si="21"/>
        <v>0.2916923076923077</v>
      </c>
      <c r="K19" s="250">
        <v>0.36</v>
      </c>
      <c r="L19" s="250">
        <f t="shared" si="22"/>
        <v>-6.8307692307692292E-2</v>
      </c>
      <c r="M19" s="241">
        <f t="shared" si="23"/>
        <v>3.2232000000000003</v>
      </c>
      <c r="N19" s="104"/>
    </row>
    <row r="20" spans="1:18" ht="18" hidden="1" x14ac:dyDescent="0.25">
      <c r="A20" s="233" t="s">
        <v>28</v>
      </c>
      <c r="B20" s="260" t="s">
        <v>50</v>
      </c>
      <c r="C20" s="252">
        <v>5.48</v>
      </c>
      <c r="D20" s="234">
        <f t="shared" si="15"/>
        <v>2.5292307692307694</v>
      </c>
      <c r="E20" s="252">
        <f>E19</f>
        <v>1.1667692307692308</v>
      </c>
      <c r="F20" s="300">
        <f>D20-E20</f>
        <v>1.3624615384615386</v>
      </c>
      <c r="G20" s="245">
        <f t="shared" si="18"/>
        <v>65.760000000000005</v>
      </c>
      <c r="H20" s="247">
        <f>G20-I20</f>
        <v>35.42</v>
      </c>
      <c r="I20" s="248">
        <v>30.34</v>
      </c>
      <c r="J20" s="249">
        <f t="shared" si="21"/>
        <v>1.3623076923076924</v>
      </c>
      <c r="K20" s="250">
        <v>1.77</v>
      </c>
      <c r="L20" s="250">
        <f t="shared" si="22"/>
        <v>-0.40769230769230758</v>
      </c>
      <c r="M20" s="241">
        <f t="shared" si="23"/>
        <v>5.5896000000000008</v>
      </c>
      <c r="N20" s="104"/>
      <c r="P20" s="18"/>
      <c r="Q20" s="18"/>
      <c r="R20" s="18"/>
    </row>
    <row r="21" spans="1:18" ht="18" hidden="1" x14ac:dyDescent="0.25">
      <c r="A21" s="233" t="s">
        <v>29</v>
      </c>
      <c r="B21" s="260" t="s">
        <v>50</v>
      </c>
      <c r="C21" s="252">
        <v>9.5299999999999994</v>
      </c>
      <c r="D21" s="234">
        <f t="shared" si="15"/>
        <v>4.3984615384615378</v>
      </c>
      <c r="E21" s="252">
        <f>E19</f>
        <v>1.1667692307692308</v>
      </c>
      <c r="F21" s="300">
        <f>D21-E21</f>
        <v>3.231692307692307</v>
      </c>
      <c r="G21" s="245">
        <f t="shared" si="18"/>
        <v>114.35999999999999</v>
      </c>
      <c r="H21" s="247">
        <f>G21-I21</f>
        <v>84.019999999999982</v>
      </c>
      <c r="I21" s="248">
        <v>30.34</v>
      </c>
      <c r="J21" s="249">
        <f t="shared" si="21"/>
        <v>3.2315384615384608</v>
      </c>
      <c r="K21" s="250">
        <v>3.24</v>
      </c>
      <c r="L21" s="258">
        <f t="shared" si="22"/>
        <v>-8.4615384615394085E-3</v>
      </c>
      <c r="M21" s="241">
        <f t="shared" si="23"/>
        <v>9.7205999999999992</v>
      </c>
      <c r="N21" s="104"/>
    </row>
    <row r="22" spans="1:18" ht="18.75" x14ac:dyDescent="0.3">
      <c r="A22" s="233" t="s">
        <v>25</v>
      </c>
      <c r="B22" s="233" t="s">
        <v>16</v>
      </c>
      <c r="C22" s="243">
        <v>32.26</v>
      </c>
      <c r="D22" s="234">
        <f t="shared" si="15"/>
        <v>14.889230769230769</v>
      </c>
      <c r="E22" s="243">
        <f t="shared" ref="E22:E24" si="28">0.8*D22</f>
        <v>11.911384615384616</v>
      </c>
      <c r="F22" s="298">
        <f t="shared" ref="F22:F24" si="29">0.2*D22</f>
        <v>2.977846153846154</v>
      </c>
      <c r="G22" s="245">
        <f t="shared" si="18"/>
        <v>387.12</v>
      </c>
      <c r="H22" s="247">
        <f t="shared" ref="H22:H24" si="30">G22*0.2</f>
        <v>77.424000000000007</v>
      </c>
      <c r="I22" s="248">
        <f t="shared" ref="I22:I24" si="31">G22-H22</f>
        <v>309.69600000000003</v>
      </c>
      <c r="J22" s="255">
        <f t="shared" si="21"/>
        <v>2.977846153846154</v>
      </c>
      <c r="K22" s="256">
        <v>2.977846153846154</v>
      </c>
      <c r="L22" s="256">
        <f t="shared" si="22"/>
        <v>0</v>
      </c>
      <c r="M22" s="301">
        <f t="shared" si="23"/>
        <v>32.905200000000001</v>
      </c>
      <c r="N22" s="104"/>
    </row>
    <row r="23" spans="1:18" ht="18.75" x14ac:dyDescent="0.3">
      <c r="A23" s="233" t="s">
        <v>26</v>
      </c>
      <c r="B23" s="233" t="s">
        <v>16</v>
      </c>
      <c r="C23" s="243">
        <v>18.05</v>
      </c>
      <c r="D23" s="234">
        <f t="shared" si="15"/>
        <v>8.3307692307692314</v>
      </c>
      <c r="E23" s="243">
        <f t="shared" si="28"/>
        <v>6.6646153846153853</v>
      </c>
      <c r="F23" s="298">
        <f t="shared" si="29"/>
        <v>1.6661538461538463</v>
      </c>
      <c r="G23" s="245">
        <f t="shared" si="18"/>
        <v>216.60000000000002</v>
      </c>
      <c r="H23" s="247">
        <f t="shared" si="30"/>
        <v>43.320000000000007</v>
      </c>
      <c r="I23" s="248">
        <f t="shared" si="31"/>
        <v>173.28000000000003</v>
      </c>
      <c r="J23" s="255">
        <f t="shared" si="21"/>
        <v>1.6661538461538465</v>
      </c>
      <c r="K23" s="256">
        <v>1.6661538461538465</v>
      </c>
      <c r="L23" s="256">
        <f t="shared" si="22"/>
        <v>0</v>
      </c>
      <c r="M23" s="301">
        <f t="shared" si="23"/>
        <v>18.411000000000001</v>
      </c>
      <c r="N23" s="104"/>
    </row>
    <row r="24" spans="1:18" ht="18.75" x14ac:dyDescent="0.3">
      <c r="A24" s="233" t="s">
        <v>27</v>
      </c>
      <c r="B24" s="233" t="s">
        <v>16</v>
      </c>
      <c r="C24" s="302">
        <v>3.16</v>
      </c>
      <c r="D24" s="234">
        <f t="shared" si="15"/>
        <v>1.4584615384615385</v>
      </c>
      <c r="E24" s="243">
        <f t="shared" si="28"/>
        <v>1.1667692307692308</v>
      </c>
      <c r="F24" s="298">
        <f t="shared" si="29"/>
        <v>0.2916923076923077</v>
      </c>
      <c r="G24" s="245">
        <f t="shared" si="18"/>
        <v>37.92</v>
      </c>
      <c r="H24" s="247">
        <f t="shared" si="30"/>
        <v>7.5840000000000005</v>
      </c>
      <c r="I24" s="248">
        <f t="shared" si="31"/>
        <v>30.336000000000002</v>
      </c>
      <c r="J24" s="255">
        <f t="shared" si="21"/>
        <v>0.2916923076923077</v>
      </c>
      <c r="K24" s="256">
        <v>0.2916923076923077</v>
      </c>
      <c r="L24" s="256">
        <f t="shared" si="22"/>
        <v>0</v>
      </c>
      <c r="M24" s="301">
        <f t="shared" si="23"/>
        <v>3.2232000000000003</v>
      </c>
      <c r="N24" s="104"/>
      <c r="O24" t="s">
        <v>101</v>
      </c>
    </row>
    <row r="25" spans="1:18" ht="18.75" x14ac:dyDescent="0.3">
      <c r="A25" s="233" t="s">
        <v>28</v>
      </c>
      <c r="B25" s="232" t="s">
        <v>50</v>
      </c>
      <c r="C25" s="302">
        <v>5.48</v>
      </c>
      <c r="D25" s="234">
        <f t="shared" si="15"/>
        <v>2.5292307692307694</v>
      </c>
      <c r="E25" s="302">
        <f>E24</f>
        <v>1.1667692307692308</v>
      </c>
      <c r="F25" s="303">
        <f>D25-E25</f>
        <v>1.3624615384615386</v>
      </c>
      <c r="G25" s="245">
        <f t="shared" si="18"/>
        <v>65.760000000000005</v>
      </c>
      <c r="H25" s="247">
        <f>G25-I25</f>
        <v>35.42</v>
      </c>
      <c r="I25" s="248">
        <v>30.34</v>
      </c>
      <c r="J25" s="255">
        <f t="shared" si="21"/>
        <v>1.3623076923076924</v>
      </c>
      <c r="K25" s="256">
        <v>1.3623076923076924</v>
      </c>
      <c r="L25" s="256">
        <f t="shared" si="22"/>
        <v>0</v>
      </c>
      <c r="M25" s="301">
        <f t="shared" si="23"/>
        <v>5.5896000000000008</v>
      </c>
      <c r="N25" s="104"/>
    </row>
    <row r="26" spans="1:18" ht="18.75" x14ac:dyDescent="0.3">
      <c r="A26" s="233" t="s">
        <v>29</v>
      </c>
      <c r="B26" s="232" t="s">
        <v>50</v>
      </c>
      <c r="C26" s="302">
        <v>9.5299999999999994</v>
      </c>
      <c r="D26" s="234">
        <f t="shared" si="15"/>
        <v>4.3984615384615378</v>
      </c>
      <c r="E26" s="302">
        <f>E24</f>
        <v>1.1667692307692308</v>
      </c>
      <c r="F26" s="303">
        <f>D26-E26</f>
        <v>3.231692307692307</v>
      </c>
      <c r="G26" s="245">
        <f t="shared" si="18"/>
        <v>114.35999999999999</v>
      </c>
      <c r="H26" s="247">
        <f>G26-I26</f>
        <v>84.019999999999982</v>
      </c>
      <c r="I26" s="248">
        <v>30.34</v>
      </c>
      <c r="J26" s="255">
        <f t="shared" si="21"/>
        <v>3.2315384615384608</v>
      </c>
      <c r="K26" s="256">
        <v>3.2315384615384608</v>
      </c>
      <c r="L26" s="304">
        <f t="shared" si="22"/>
        <v>0</v>
      </c>
      <c r="M26" s="301">
        <f t="shared" si="23"/>
        <v>9.7205999999999992</v>
      </c>
      <c r="N26" s="104"/>
    </row>
    <row r="27" spans="1:18" ht="15.75" x14ac:dyDescent="0.25">
      <c r="A27" s="145" t="s">
        <v>41</v>
      </c>
      <c r="B27" s="150"/>
      <c r="C27" s="147"/>
      <c r="D27" s="150"/>
      <c r="E27" s="150"/>
      <c r="F27" s="151"/>
      <c r="G27" s="150"/>
      <c r="H27" s="150"/>
      <c r="I27" s="150"/>
      <c r="J27" s="151"/>
      <c r="K27" s="150"/>
      <c r="L27" s="133"/>
      <c r="M27" s="174"/>
      <c r="N27" s="104"/>
    </row>
    <row r="28" spans="1:18" ht="18" x14ac:dyDescent="0.25">
      <c r="A28" s="232" t="s">
        <v>18</v>
      </c>
      <c r="B28" s="242" t="s">
        <v>57</v>
      </c>
      <c r="C28" s="252">
        <v>456</v>
      </c>
      <c r="D28" s="234">
        <f>ROUND(G28/26,2)</f>
        <v>210.46</v>
      </c>
      <c r="E28" s="234">
        <f>ROUND(0.85*D28,2)</f>
        <v>178.89</v>
      </c>
      <c r="F28" s="297">
        <f>ROUND(0.15*D28,2)</f>
        <v>31.57</v>
      </c>
      <c r="G28" s="235">
        <f>ROUND(C28*12,2)</f>
        <v>5472</v>
      </c>
      <c r="H28" s="237">
        <f>ROUND(G28*0.15,2)</f>
        <v>820.8</v>
      </c>
      <c r="I28" s="238">
        <f>ROUND(G28-H28,2)</f>
        <v>4651.2</v>
      </c>
      <c r="J28" s="239">
        <f t="shared" ref="J28:J34" si="32">H28/26</f>
        <v>31.569230769230767</v>
      </c>
      <c r="K28" s="240">
        <v>31.707692307692305</v>
      </c>
      <c r="L28" s="240">
        <f t="shared" ref="L28:L34" si="33">J28-K28</f>
        <v>-0.13846153846153797</v>
      </c>
      <c r="M28" s="241">
        <f>ROUND(C28*1.02,2)</f>
        <v>465.12</v>
      </c>
      <c r="N28" s="104"/>
      <c r="O28" s="79"/>
    </row>
    <row r="29" spans="1:18" ht="18" x14ac:dyDescent="0.25">
      <c r="A29" s="242" t="s">
        <v>19</v>
      </c>
      <c r="B29" s="242" t="s">
        <v>57</v>
      </c>
      <c r="C29" s="243">
        <v>1049.46</v>
      </c>
      <c r="D29" s="234">
        <f t="shared" ref="D29:D30" si="34">ROUND(G29/26,2)</f>
        <v>484.37</v>
      </c>
      <c r="E29" s="234">
        <f t="shared" ref="E29:E30" si="35">ROUND(0.85*D29,2)</f>
        <v>411.71</v>
      </c>
      <c r="F29" s="297">
        <f t="shared" ref="F29:F30" si="36">ROUND(0.15*D29,2)</f>
        <v>72.66</v>
      </c>
      <c r="G29" s="235">
        <f t="shared" ref="G29:G30" si="37">ROUND(C29*12,2)</f>
        <v>12593.52</v>
      </c>
      <c r="H29" s="237">
        <f t="shared" ref="H29:H30" si="38">ROUND(G29*0.15,2)</f>
        <v>1889.03</v>
      </c>
      <c r="I29" s="238">
        <f t="shared" ref="I29:I30" si="39">ROUND(G29-H29,2)</f>
        <v>10704.49</v>
      </c>
      <c r="J29" s="239">
        <f t="shared" si="32"/>
        <v>72.655000000000001</v>
      </c>
      <c r="K29" s="240">
        <v>76.464615384615385</v>
      </c>
      <c r="L29" s="250">
        <f t="shared" si="33"/>
        <v>-3.809615384615384</v>
      </c>
      <c r="M29" s="241">
        <f t="shared" ref="M29:M34" si="40">ROUND(C29*1.02,2)</f>
        <v>1070.45</v>
      </c>
      <c r="N29" s="104"/>
      <c r="O29" s="79"/>
    </row>
    <row r="30" spans="1:18" ht="18" x14ac:dyDescent="0.25">
      <c r="A30" s="244" t="s">
        <v>20</v>
      </c>
      <c r="B30" s="242" t="s">
        <v>57</v>
      </c>
      <c r="C30" s="243">
        <v>611.28</v>
      </c>
      <c r="D30" s="234">
        <f t="shared" si="34"/>
        <v>282.13</v>
      </c>
      <c r="E30" s="234">
        <f t="shared" si="35"/>
        <v>239.81</v>
      </c>
      <c r="F30" s="297">
        <f t="shared" si="36"/>
        <v>42.32</v>
      </c>
      <c r="G30" s="235">
        <f t="shared" si="37"/>
        <v>7335.36</v>
      </c>
      <c r="H30" s="237">
        <f t="shared" si="38"/>
        <v>1100.3</v>
      </c>
      <c r="I30" s="238">
        <f t="shared" si="39"/>
        <v>6235.06</v>
      </c>
      <c r="J30" s="239">
        <f t="shared" si="32"/>
        <v>42.319230769230771</v>
      </c>
      <c r="K30" s="240">
        <v>43.811923076923073</v>
      </c>
      <c r="L30" s="250">
        <f t="shared" si="33"/>
        <v>-1.4926923076923018</v>
      </c>
      <c r="M30" s="241">
        <f t="shared" si="40"/>
        <v>623.51</v>
      </c>
      <c r="N30" s="104" t="s">
        <v>30</v>
      </c>
      <c r="O30" s="79"/>
    </row>
    <row r="31" spans="1:18" ht="18" x14ac:dyDescent="0.25">
      <c r="A31" s="242" t="s">
        <v>21</v>
      </c>
      <c r="B31" s="242" t="s">
        <v>16</v>
      </c>
      <c r="C31" s="243">
        <v>1430.88</v>
      </c>
      <c r="D31" s="234">
        <f>ROUND(G31/26,2)</f>
        <v>660.41</v>
      </c>
      <c r="E31" s="243">
        <f>ROUND(0.8*D31,2)</f>
        <v>528.33000000000004</v>
      </c>
      <c r="F31" s="298">
        <f>ROUND(0.2*D31,2)</f>
        <v>132.08000000000001</v>
      </c>
      <c r="G31" s="245">
        <f>ROUND(C31*12,2)</f>
        <v>17170.560000000001</v>
      </c>
      <c r="H31" s="247">
        <f>ROUND(G31*0.2,2)</f>
        <v>3434.11</v>
      </c>
      <c r="I31" s="248">
        <f>ROUND(G31-H31,2)</f>
        <v>13736.45</v>
      </c>
      <c r="J31" s="249">
        <f t="shared" si="32"/>
        <v>132.08115384615385</v>
      </c>
      <c r="K31" s="240">
        <v>121.84615384615384</v>
      </c>
      <c r="L31" s="250">
        <f t="shared" si="33"/>
        <v>10.235000000000014</v>
      </c>
      <c r="M31" s="241">
        <f t="shared" si="40"/>
        <v>1459.5</v>
      </c>
      <c r="N31" s="104"/>
      <c r="O31" s="79"/>
    </row>
    <row r="32" spans="1:18" ht="18" x14ac:dyDescent="0.25">
      <c r="A32" s="244" t="s">
        <v>22</v>
      </c>
      <c r="B32" s="242" t="s">
        <v>16</v>
      </c>
      <c r="C32" s="243">
        <v>552.82000000000005</v>
      </c>
      <c r="D32" s="234">
        <f t="shared" ref="D32:D34" si="41">ROUND(G32/26,2)</f>
        <v>255.15</v>
      </c>
      <c r="E32" s="243">
        <f t="shared" ref="E32:E34" si="42">ROUND(0.8*D32,2)</f>
        <v>204.12</v>
      </c>
      <c r="F32" s="298">
        <f t="shared" ref="F32:F34" si="43">ROUND(0.2*D32,2)</f>
        <v>51.03</v>
      </c>
      <c r="G32" s="245">
        <f t="shared" ref="G32:G34" si="44">ROUND(C32*12,2)</f>
        <v>6633.84</v>
      </c>
      <c r="H32" s="247">
        <f t="shared" ref="H32:H34" si="45">ROUND(G32*0.2,2)</f>
        <v>1326.77</v>
      </c>
      <c r="I32" s="248">
        <f t="shared" ref="I32:I34" si="46">ROUND(G32-H32,2)</f>
        <v>5307.07</v>
      </c>
      <c r="J32" s="249">
        <f t="shared" si="32"/>
        <v>51.029615384615383</v>
      </c>
      <c r="K32" s="240">
        <v>48.369230769230768</v>
      </c>
      <c r="L32" s="250">
        <f t="shared" si="33"/>
        <v>2.6603846153846149</v>
      </c>
      <c r="M32" s="241">
        <f t="shared" si="40"/>
        <v>563.88</v>
      </c>
      <c r="N32" s="104"/>
      <c r="O32" s="79"/>
    </row>
    <row r="33" spans="1:15" ht="18" x14ac:dyDescent="0.25">
      <c r="A33" s="242" t="s">
        <v>23</v>
      </c>
      <c r="B33" s="242" t="s">
        <v>16</v>
      </c>
      <c r="C33" s="243">
        <v>1176</v>
      </c>
      <c r="D33" s="234">
        <f t="shared" si="41"/>
        <v>542.77</v>
      </c>
      <c r="E33" s="243">
        <f t="shared" si="42"/>
        <v>434.22</v>
      </c>
      <c r="F33" s="298">
        <f t="shared" si="43"/>
        <v>108.55</v>
      </c>
      <c r="G33" s="245">
        <f t="shared" si="44"/>
        <v>14112</v>
      </c>
      <c r="H33" s="247">
        <f t="shared" si="45"/>
        <v>2822.4</v>
      </c>
      <c r="I33" s="248">
        <f t="shared" si="46"/>
        <v>11289.6</v>
      </c>
      <c r="J33" s="249">
        <f t="shared" si="32"/>
        <v>108.55384615384615</v>
      </c>
      <c r="K33" s="240">
        <v>108.55384615384615</v>
      </c>
      <c r="L33" s="250">
        <f t="shared" si="33"/>
        <v>0</v>
      </c>
      <c r="M33" s="241">
        <f t="shared" si="40"/>
        <v>1199.52</v>
      </c>
      <c r="N33" s="104"/>
      <c r="O33" s="79"/>
    </row>
    <row r="34" spans="1:15" ht="18" x14ac:dyDescent="0.25">
      <c r="A34" s="242" t="s">
        <v>24</v>
      </c>
      <c r="B34" s="242" t="s">
        <v>16</v>
      </c>
      <c r="C34" s="243">
        <v>820.56</v>
      </c>
      <c r="D34" s="234">
        <f t="shared" si="41"/>
        <v>378.72</v>
      </c>
      <c r="E34" s="243">
        <f t="shared" si="42"/>
        <v>302.98</v>
      </c>
      <c r="F34" s="298">
        <f t="shared" si="43"/>
        <v>75.739999999999995</v>
      </c>
      <c r="G34" s="245">
        <f t="shared" si="44"/>
        <v>9846.7199999999993</v>
      </c>
      <c r="H34" s="247">
        <f t="shared" si="45"/>
        <v>1969.34</v>
      </c>
      <c r="I34" s="248">
        <f t="shared" si="46"/>
        <v>7877.38</v>
      </c>
      <c r="J34" s="249">
        <f t="shared" si="32"/>
        <v>75.74384615384615</v>
      </c>
      <c r="K34" s="240">
        <v>72</v>
      </c>
      <c r="L34" s="250">
        <f t="shared" si="33"/>
        <v>3.7438461538461496</v>
      </c>
      <c r="M34" s="241">
        <f t="shared" si="40"/>
        <v>836.97</v>
      </c>
      <c r="N34" s="104"/>
      <c r="O34" s="79"/>
    </row>
    <row r="35" spans="1:15" s="13" customFormat="1" ht="14.45" hidden="1" customHeight="1" x14ac:dyDescent="0.25">
      <c r="A35" s="299" t="s">
        <v>25</v>
      </c>
      <c r="B35" s="242" t="s">
        <v>16</v>
      </c>
      <c r="C35" s="243">
        <v>64.67</v>
      </c>
      <c r="D35" s="234">
        <f t="shared" ref="D35:D49" si="47">G35/26</f>
        <v>29.847692307692306</v>
      </c>
      <c r="E35" s="243">
        <f t="shared" ref="E35:E37" si="48">0.8*D35</f>
        <v>23.878153846153847</v>
      </c>
      <c r="F35" s="298">
        <f t="shared" ref="F35:F37" si="49">0.2*D35</f>
        <v>5.9695384615384617</v>
      </c>
      <c r="G35" s="245">
        <f t="shared" ref="G35:G49" si="50">C35*12</f>
        <v>776.04</v>
      </c>
      <c r="H35" s="247">
        <f t="shared" ref="H35:H37" si="51">G35*0.2</f>
        <v>155.208</v>
      </c>
      <c r="I35" s="248">
        <f t="shared" ref="I35:I37" si="52">G35-H35</f>
        <v>620.83199999999999</v>
      </c>
      <c r="J35" s="249">
        <f t="shared" ref="J35:J49" si="53">H35/26</f>
        <v>5.9695384615384617</v>
      </c>
      <c r="K35" s="250">
        <v>7.5</v>
      </c>
      <c r="L35" s="250">
        <f t="shared" ref="L35:L49" si="54">J35-K35</f>
        <v>-1.5304615384615383</v>
      </c>
      <c r="M35" s="241">
        <f t="shared" si="23"/>
        <v>65.963400000000007</v>
      </c>
      <c r="N35" s="105"/>
    </row>
    <row r="36" spans="1:15" s="13" customFormat="1" ht="14.45" hidden="1" customHeight="1" x14ac:dyDescent="0.25">
      <c r="A36" s="299" t="s">
        <v>26</v>
      </c>
      <c r="B36" s="242" t="s">
        <v>16</v>
      </c>
      <c r="C36" s="243">
        <v>35.1</v>
      </c>
      <c r="D36" s="234">
        <f t="shared" si="47"/>
        <v>16.200000000000003</v>
      </c>
      <c r="E36" s="243">
        <f t="shared" si="48"/>
        <v>12.960000000000003</v>
      </c>
      <c r="F36" s="298">
        <f t="shared" si="49"/>
        <v>3.2400000000000007</v>
      </c>
      <c r="G36" s="245">
        <f t="shared" si="50"/>
        <v>421.20000000000005</v>
      </c>
      <c r="H36" s="247">
        <f t="shared" si="51"/>
        <v>84.240000000000009</v>
      </c>
      <c r="I36" s="248">
        <f t="shared" si="52"/>
        <v>336.96000000000004</v>
      </c>
      <c r="J36" s="249">
        <f t="shared" si="53"/>
        <v>3.24</v>
      </c>
      <c r="K36" s="250">
        <v>7.5</v>
      </c>
      <c r="L36" s="250">
        <f t="shared" si="54"/>
        <v>-4.26</v>
      </c>
      <c r="M36" s="241">
        <f t="shared" si="23"/>
        <v>35.802</v>
      </c>
      <c r="N36" s="105"/>
    </row>
    <row r="37" spans="1:15" s="13" customFormat="1" ht="14.45" hidden="1" customHeight="1" x14ac:dyDescent="0.25">
      <c r="A37" s="299" t="s">
        <v>27</v>
      </c>
      <c r="B37" s="242" t="s">
        <v>16</v>
      </c>
      <c r="C37" s="243">
        <v>6.36</v>
      </c>
      <c r="D37" s="234">
        <f t="shared" si="47"/>
        <v>2.9353846153846157</v>
      </c>
      <c r="E37" s="243">
        <f t="shared" si="48"/>
        <v>2.3483076923076927</v>
      </c>
      <c r="F37" s="298">
        <f t="shared" si="49"/>
        <v>0.58707692307692316</v>
      </c>
      <c r="G37" s="245">
        <f t="shared" si="50"/>
        <v>76.320000000000007</v>
      </c>
      <c r="H37" s="247">
        <f t="shared" si="51"/>
        <v>15.264000000000003</v>
      </c>
      <c r="I37" s="248">
        <f t="shared" si="52"/>
        <v>61.056000000000004</v>
      </c>
      <c r="J37" s="249">
        <f t="shared" si="53"/>
        <v>0.58707692307692316</v>
      </c>
      <c r="K37" s="250">
        <v>0.72</v>
      </c>
      <c r="L37" s="250">
        <f t="shared" si="54"/>
        <v>-0.13292307692307681</v>
      </c>
      <c r="M37" s="241">
        <f t="shared" si="23"/>
        <v>6.4872000000000005</v>
      </c>
      <c r="N37" s="105"/>
    </row>
    <row r="38" spans="1:15" s="13" customFormat="1" ht="14.45" hidden="1" customHeight="1" x14ac:dyDescent="0.25">
      <c r="A38" s="299" t="s">
        <v>28</v>
      </c>
      <c r="B38" s="260" t="s">
        <v>50</v>
      </c>
      <c r="C38" s="243">
        <v>10.98</v>
      </c>
      <c r="D38" s="234">
        <f t="shared" si="47"/>
        <v>5.0676923076923073</v>
      </c>
      <c r="E38" s="243">
        <f>E37</f>
        <v>2.3483076923076927</v>
      </c>
      <c r="F38" s="298">
        <f>D38-E38</f>
        <v>2.7193846153846146</v>
      </c>
      <c r="G38" s="245">
        <f t="shared" si="50"/>
        <v>131.76</v>
      </c>
      <c r="H38" s="247">
        <f>G38-I38</f>
        <v>70.699999999999989</v>
      </c>
      <c r="I38" s="248">
        <v>61.06</v>
      </c>
      <c r="J38" s="249">
        <f t="shared" si="53"/>
        <v>2.7192307692307689</v>
      </c>
      <c r="K38" s="250">
        <v>3.52</v>
      </c>
      <c r="L38" s="250">
        <f t="shared" si="54"/>
        <v>-0.80076923076923112</v>
      </c>
      <c r="M38" s="241">
        <f t="shared" si="23"/>
        <v>11.1996</v>
      </c>
      <c r="N38" s="105"/>
    </row>
    <row r="39" spans="1:15" s="13" customFormat="1" ht="14.45" hidden="1" customHeight="1" x14ac:dyDescent="0.25">
      <c r="A39" s="299" t="s">
        <v>29</v>
      </c>
      <c r="B39" s="260" t="s">
        <v>50</v>
      </c>
      <c r="C39" s="243">
        <v>19.07</v>
      </c>
      <c r="D39" s="234">
        <f t="shared" si="47"/>
        <v>8.8015384615384615</v>
      </c>
      <c r="E39" s="243">
        <f>E37</f>
        <v>2.3483076923076927</v>
      </c>
      <c r="F39" s="298">
        <f>D39-E39</f>
        <v>6.4532307692307693</v>
      </c>
      <c r="G39" s="245">
        <f t="shared" si="50"/>
        <v>228.84</v>
      </c>
      <c r="H39" s="247">
        <f>G39-I39</f>
        <v>167.78</v>
      </c>
      <c r="I39" s="248">
        <v>61.06</v>
      </c>
      <c r="J39" s="249">
        <f t="shared" si="53"/>
        <v>6.4530769230769227</v>
      </c>
      <c r="K39" s="250">
        <v>6.46</v>
      </c>
      <c r="L39" s="258">
        <f t="shared" si="54"/>
        <v>-6.9230769230772538E-3</v>
      </c>
      <c r="M39" s="241">
        <f t="shared" si="23"/>
        <v>19.4514</v>
      </c>
      <c r="N39" s="105"/>
    </row>
    <row r="40" spans="1:15" ht="18" hidden="1" x14ac:dyDescent="0.25">
      <c r="A40" s="233" t="s">
        <v>25</v>
      </c>
      <c r="B40" s="242" t="s">
        <v>16</v>
      </c>
      <c r="C40" s="243">
        <v>64.67</v>
      </c>
      <c r="D40" s="234">
        <f t="shared" si="47"/>
        <v>29.847692307692306</v>
      </c>
      <c r="E40" s="243">
        <f t="shared" ref="E40:E42" si="55">0.8*D40</f>
        <v>23.878153846153847</v>
      </c>
      <c r="F40" s="298">
        <f t="shared" ref="F40:F42" si="56">0.2*D40</f>
        <v>5.9695384615384617</v>
      </c>
      <c r="G40" s="245">
        <f t="shared" si="50"/>
        <v>776.04</v>
      </c>
      <c r="H40" s="247">
        <f t="shared" ref="H40:H42" si="57">G40*0.2</f>
        <v>155.208</v>
      </c>
      <c r="I40" s="248">
        <f t="shared" ref="I40:I42" si="58">G40-H40</f>
        <v>620.83199999999999</v>
      </c>
      <c r="J40" s="249">
        <f t="shared" si="53"/>
        <v>5.9695384615384617</v>
      </c>
      <c r="K40" s="250">
        <v>7.5</v>
      </c>
      <c r="L40" s="250">
        <f t="shared" si="54"/>
        <v>-1.5304615384615383</v>
      </c>
      <c r="M40" s="241">
        <f t="shared" si="23"/>
        <v>65.963400000000007</v>
      </c>
      <c r="N40" s="104"/>
    </row>
    <row r="41" spans="1:15" ht="18" hidden="1" x14ac:dyDescent="0.25">
      <c r="A41" s="233" t="s">
        <v>26</v>
      </c>
      <c r="B41" s="242" t="s">
        <v>16</v>
      </c>
      <c r="C41" s="243">
        <v>35.1</v>
      </c>
      <c r="D41" s="234">
        <f t="shared" si="47"/>
        <v>16.200000000000003</v>
      </c>
      <c r="E41" s="243">
        <f t="shared" si="55"/>
        <v>12.960000000000003</v>
      </c>
      <c r="F41" s="298">
        <f t="shared" si="56"/>
        <v>3.2400000000000007</v>
      </c>
      <c r="G41" s="245">
        <f t="shared" si="50"/>
        <v>421.20000000000005</v>
      </c>
      <c r="H41" s="247">
        <f t="shared" si="57"/>
        <v>84.240000000000009</v>
      </c>
      <c r="I41" s="248">
        <f t="shared" si="58"/>
        <v>336.96000000000004</v>
      </c>
      <c r="J41" s="249">
        <f t="shared" si="53"/>
        <v>3.24</v>
      </c>
      <c r="K41" s="250">
        <v>7.5</v>
      </c>
      <c r="L41" s="250">
        <f t="shared" si="54"/>
        <v>-4.26</v>
      </c>
      <c r="M41" s="241">
        <f t="shared" si="23"/>
        <v>35.802</v>
      </c>
      <c r="N41" s="104"/>
    </row>
    <row r="42" spans="1:15" ht="18" hidden="1" x14ac:dyDescent="0.25">
      <c r="A42" s="233" t="s">
        <v>27</v>
      </c>
      <c r="B42" s="242" t="s">
        <v>16</v>
      </c>
      <c r="C42" s="243">
        <v>6.36</v>
      </c>
      <c r="D42" s="234">
        <f t="shared" si="47"/>
        <v>2.9353846153846157</v>
      </c>
      <c r="E42" s="243">
        <f t="shared" si="55"/>
        <v>2.3483076923076927</v>
      </c>
      <c r="F42" s="298">
        <f t="shared" si="56"/>
        <v>0.58707692307692316</v>
      </c>
      <c r="G42" s="245">
        <f t="shared" si="50"/>
        <v>76.320000000000007</v>
      </c>
      <c r="H42" s="247">
        <f t="shared" si="57"/>
        <v>15.264000000000003</v>
      </c>
      <c r="I42" s="248">
        <f t="shared" si="58"/>
        <v>61.056000000000004</v>
      </c>
      <c r="J42" s="249">
        <f t="shared" si="53"/>
        <v>0.58707692307692316</v>
      </c>
      <c r="K42" s="250">
        <v>0.72</v>
      </c>
      <c r="L42" s="250">
        <f t="shared" si="54"/>
        <v>-0.13292307692307681</v>
      </c>
      <c r="M42" s="241">
        <f t="shared" si="23"/>
        <v>6.4872000000000005</v>
      </c>
      <c r="N42" s="104"/>
    </row>
    <row r="43" spans="1:15" ht="18" hidden="1" x14ac:dyDescent="0.25">
      <c r="A43" s="233" t="s">
        <v>28</v>
      </c>
      <c r="B43" s="260" t="s">
        <v>50</v>
      </c>
      <c r="C43" s="243">
        <v>10.98</v>
      </c>
      <c r="D43" s="234">
        <f t="shared" si="47"/>
        <v>5.0676923076923073</v>
      </c>
      <c r="E43" s="243">
        <f>E42</f>
        <v>2.3483076923076927</v>
      </c>
      <c r="F43" s="298">
        <f>D43-E43</f>
        <v>2.7193846153846146</v>
      </c>
      <c r="G43" s="245">
        <f t="shared" si="50"/>
        <v>131.76</v>
      </c>
      <c r="H43" s="247">
        <f>G43-I43</f>
        <v>70.699999999999989</v>
      </c>
      <c r="I43" s="248">
        <v>61.06</v>
      </c>
      <c r="J43" s="249">
        <f t="shared" si="53"/>
        <v>2.7192307692307689</v>
      </c>
      <c r="K43" s="250">
        <v>3.52</v>
      </c>
      <c r="L43" s="250">
        <f t="shared" si="54"/>
        <v>-0.80076923076923112</v>
      </c>
      <c r="M43" s="241">
        <f t="shared" si="23"/>
        <v>11.1996</v>
      </c>
      <c r="N43" s="104"/>
    </row>
    <row r="44" spans="1:15" ht="18" hidden="1" x14ac:dyDescent="0.25">
      <c r="A44" s="233" t="s">
        <v>29</v>
      </c>
      <c r="B44" s="260" t="s">
        <v>50</v>
      </c>
      <c r="C44" s="243">
        <v>19.07</v>
      </c>
      <c r="D44" s="234">
        <f t="shared" si="47"/>
        <v>8.8015384615384615</v>
      </c>
      <c r="E44" s="243">
        <f>E42</f>
        <v>2.3483076923076927</v>
      </c>
      <c r="F44" s="298">
        <f>D44-E44</f>
        <v>6.4532307692307693</v>
      </c>
      <c r="G44" s="245">
        <f t="shared" si="50"/>
        <v>228.84</v>
      </c>
      <c r="H44" s="247">
        <f>G44-I44</f>
        <v>167.78</v>
      </c>
      <c r="I44" s="248">
        <v>61.06</v>
      </c>
      <c r="J44" s="249">
        <f t="shared" si="53"/>
        <v>6.4530769230769227</v>
      </c>
      <c r="K44" s="250">
        <v>6.46</v>
      </c>
      <c r="L44" s="258">
        <f t="shared" si="54"/>
        <v>-6.9230769230772538E-3</v>
      </c>
      <c r="M44" s="241">
        <f t="shared" si="23"/>
        <v>19.4514</v>
      </c>
      <c r="N44" s="104"/>
    </row>
    <row r="45" spans="1:15" ht="18.75" x14ac:dyDescent="0.3">
      <c r="A45" s="233" t="s">
        <v>25</v>
      </c>
      <c r="B45" s="233" t="s">
        <v>16</v>
      </c>
      <c r="C45" s="243">
        <v>64.67</v>
      </c>
      <c r="D45" s="234">
        <f t="shared" si="47"/>
        <v>29.847692307692306</v>
      </c>
      <c r="E45" s="243">
        <f t="shared" ref="E45:E47" si="59">0.8*D45</f>
        <v>23.878153846153847</v>
      </c>
      <c r="F45" s="298">
        <f t="shared" ref="F45:F47" si="60">0.2*D45</f>
        <v>5.9695384615384617</v>
      </c>
      <c r="G45" s="245">
        <f t="shared" si="50"/>
        <v>776.04</v>
      </c>
      <c r="H45" s="247">
        <f t="shared" ref="H45:H47" si="61">G45*0.2</f>
        <v>155.208</v>
      </c>
      <c r="I45" s="248">
        <f t="shared" ref="I45:I47" si="62">G45-H45</f>
        <v>620.83199999999999</v>
      </c>
      <c r="J45" s="255">
        <f t="shared" si="53"/>
        <v>5.9695384615384617</v>
      </c>
      <c r="K45" s="256">
        <v>5.9695384615384617</v>
      </c>
      <c r="L45" s="256">
        <f t="shared" si="54"/>
        <v>0</v>
      </c>
      <c r="M45" s="301">
        <f t="shared" si="23"/>
        <v>65.963400000000007</v>
      </c>
      <c r="N45" s="104"/>
    </row>
    <row r="46" spans="1:15" ht="18.75" x14ac:dyDescent="0.3">
      <c r="A46" s="233" t="s">
        <v>26</v>
      </c>
      <c r="B46" s="233" t="s">
        <v>16</v>
      </c>
      <c r="C46" s="243">
        <v>35.1</v>
      </c>
      <c r="D46" s="234">
        <f t="shared" si="47"/>
        <v>16.200000000000003</v>
      </c>
      <c r="E46" s="243">
        <f t="shared" si="59"/>
        <v>12.960000000000003</v>
      </c>
      <c r="F46" s="298">
        <f t="shared" si="60"/>
        <v>3.2400000000000007</v>
      </c>
      <c r="G46" s="245">
        <f t="shared" si="50"/>
        <v>421.20000000000005</v>
      </c>
      <c r="H46" s="247">
        <f t="shared" si="61"/>
        <v>84.240000000000009</v>
      </c>
      <c r="I46" s="248">
        <f t="shared" si="62"/>
        <v>336.96000000000004</v>
      </c>
      <c r="J46" s="255">
        <f t="shared" si="53"/>
        <v>3.24</v>
      </c>
      <c r="K46" s="256">
        <v>3.24</v>
      </c>
      <c r="L46" s="256">
        <f t="shared" si="54"/>
        <v>0</v>
      </c>
      <c r="M46" s="301">
        <f t="shared" si="23"/>
        <v>35.802</v>
      </c>
      <c r="N46" s="104"/>
    </row>
    <row r="47" spans="1:15" ht="18.75" x14ac:dyDescent="0.3">
      <c r="A47" s="233" t="s">
        <v>27</v>
      </c>
      <c r="B47" s="233" t="s">
        <v>16</v>
      </c>
      <c r="C47" s="243">
        <v>6.36</v>
      </c>
      <c r="D47" s="234">
        <f t="shared" si="47"/>
        <v>2.9353846153846157</v>
      </c>
      <c r="E47" s="243">
        <f t="shared" si="59"/>
        <v>2.3483076923076927</v>
      </c>
      <c r="F47" s="298">
        <f t="shared" si="60"/>
        <v>0.58707692307692316</v>
      </c>
      <c r="G47" s="245">
        <f t="shared" si="50"/>
        <v>76.320000000000007</v>
      </c>
      <c r="H47" s="247">
        <f t="shared" si="61"/>
        <v>15.264000000000003</v>
      </c>
      <c r="I47" s="248">
        <f t="shared" si="62"/>
        <v>61.056000000000004</v>
      </c>
      <c r="J47" s="255">
        <f t="shared" si="53"/>
        <v>0.58707692307692316</v>
      </c>
      <c r="K47" s="256">
        <v>0.58707692307692316</v>
      </c>
      <c r="L47" s="256">
        <f t="shared" si="54"/>
        <v>0</v>
      </c>
      <c r="M47" s="301">
        <f t="shared" si="23"/>
        <v>6.4872000000000005</v>
      </c>
      <c r="N47" s="104"/>
    </row>
    <row r="48" spans="1:15" ht="18.75" x14ac:dyDescent="0.3">
      <c r="A48" s="233" t="s">
        <v>28</v>
      </c>
      <c r="B48" s="232" t="s">
        <v>50</v>
      </c>
      <c r="C48" s="243">
        <v>10.98</v>
      </c>
      <c r="D48" s="234">
        <f t="shared" si="47"/>
        <v>5.0676923076923073</v>
      </c>
      <c r="E48" s="243">
        <f>E47</f>
        <v>2.3483076923076927</v>
      </c>
      <c r="F48" s="298">
        <f>D48-E48</f>
        <v>2.7193846153846146</v>
      </c>
      <c r="G48" s="245">
        <f t="shared" si="50"/>
        <v>131.76</v>
      </c>
      <c r="H48" s="247">
        <f>G48-I48</f>
        <v>70.699999999999989</v>
      </c>
      <c r="I48" s="248">
        <v>61.06</v>
      </c>
      <c r="J48" s="255">
        <f t="shared" si="53"/>
        <v>2.7192307692307689</v>
      </c>
      <c r="K48" s="256">
        <v>2.7192307692307689</v>
      </c>
      <c r="L48" s="256">
        <f t="shared" si="54"/>
        <v>0</v>
      </c>
      <c r="M48" s="301">
        <f t="shared" si="23"/>
        <v>11.1996</v>
      </c>
      <c r="N48" s="104"/>
    </row>
    <row r="49" spans="1:15" ht="18.75" x14ac:dyDescent="0.3">
      <c r="A49" s="233" t="s">
        <v>29</v>
      </c>
      <c r="B49" s="232" t="s">
        <v>50</v>
      </c>
      <c r="C49" s="243">
        <v>19.07</v>
      </c>
      <c r="D49" s="234">
        <f t="shared" si="47"/>
        <v>8.8015384615384615</v>
      </c>
      <c r="E49" s="243">
        <f>E47</f>
        <v>2.3483076923076927</v>
      </c>
      <c r="F49" s="298">
        <f>D49-E49</f>
        <v>6.4532307692307693</v>
      </c>
      <c r="G49" s="245">
        <f t="shared" si="50"/>
        <v>228.84</v>
      </c>
      <c r="H49" s="247">
        <f>G49-I49</f>
        <v>167.78</v>
      </c>
      <c r="I49" s="248">
        <v>61.06</v>
      </c>
      <c r="J49" s="255">
        <f t="shared" si="53"/>
        <v>6.4530769230769227</v>
      </c>
      <c r="K49" s="256">
        <v>6.4530769230769227</v>
      </c>
      <c r="L49" s="304">
        <f t="shared" si="54"/>
        <v>0</v>
      </c>
      <c r="M49" s="301">
        <f t="shared" si="23"/>
        <v>19.4514</v>
      </c>
      <c r="N49" s="104"/>
    </row>
    <row r="50" spans="1:15" ht="15.75" x14ac:dyDescent="0.25">
      <c r="A50" s="145" t="s">
        <v>42</v>
      </c>
      <c r="B50" s="150"/>
      <c r="C50" s="147"/>
      <c r="D50" s="150"/>
      <c r="E50" s="150"/>
      <c r="F50" s="151"/>
      <c r="G50" s="150"/>
      <c r="H50" s="150"/>
      <c r="I50" s="150"/>
      <c r="J50" s="151"/>
      <c r="K50" s="150"/>
      <c r="L50" s="133"/>
      <c r="M50" s="174"/>
      <c r="N50" s="104"/>
    </row>
    <row r="51" spans="1:15" ht="18" x14ac:dyDescent="0.25">
      <c r="A51" s="232" t="s">
        <v>18</v>
      </c>
      <c r="B51" s="260" t="s">
        <v>57</v>
      </c>
      <c r="C51" s="252">
        <v>684</v>
      </c>
      <c r="D51" s="234">
        <f>ROUND(G51/26,2)</f>
        <v>315.69</v>
      </c>
      <c r="E51" s="234">
        <f>ROUND(0.85*D51,2)</f>
        <v>268.33999999999997</v>
      </c>
      <c r="F51" s="297">
        <f>ROUND(0.15*D51,2)</f>
        <v>47.35</v>
      </c>
      <c r="G51" s="235">
        <f>ROUND(C51*12,2)</f>
        <v>8208</v>
      </c>
      <c r="H51" s="237">
        <f>ROUND(G51*0.15,2)</f>
        <v>1231.2</v>
      </c>
      <c r="I51" s="238">
        <f>ROUND(G51-H51,2)</f>
        <v>6976.8</v>
      </c>
      <c r="J51" s="239">
        <f t="shared" ref="J51:J57" si="63">H51/26</f>
        <v>47.353846153846156</v>
      </c>
      <c r="K51" s="240">
        <v>47.561538461538461</v>
      </c>
      <c r="L51" s="240">
        <f t="shared" ref="L51:L57" si="64">J51-K51</f>
        <v>-0.20769230769230518</v>
      </c>
      <c r="M51" s="241">
        <f>ROUND(C51*1.02,2)</f>
        <v>697.68</v>
      </c>
      <c r="N51" s="104"/>
      <c r="O51" s="79"/>
    </row>
    <row r="52" spans="1:15" ht="18" x14ac:dyDescent="0.25">
      <c r="A52" s="242" t="s">
        <v>19</v>
      </c>
      <c r="B52" s="242" t="s">
        <v>57</v>
      </c>
      <c r="C52" s="243">
        <v>1574.18</v>
      </c>
      <c r="D52" s="234">
        <f t="shared" ref="D52:D53" si="65">ROUND(G52/26,2)</f>
        <v>726.54</v>
      </c>
      <c r="E52" s="234">
        <f t="shared" ref="E52:E53" si="66">ROUND(0.85*D52,2)</f>
        <v>617.55999999999995</v>
      </c>
      <c r="F52" s="297">
        <f t="shared" ref="F52:F53" si="67">ROUND(0.15*D52,2)</f>
        <v>108.98</v>
      </c>
      <c r="G52" s="235">
        <f t="shared" ref="G52:G53" si="68">ROUND(C52*12,2)</f>
        <v>18890.16</v>
      </c>
      <c r="H52" s="237">
        <f t="shared" ref="H52:H53" si="69">ROUND(G52*0.15,2)</f>
        <v>2833.52</v>
      </c>
      <c r="I52" s="238">
        <f t="shared" ref="I52:I53" si="70">ROUND(G52-H52,2)</f>
        <v>16056.64</v>
      </c>
      <c r="J52" s="239">
        <f t="shared" si="63"/>
        <v>108.98153846153846</v>
      </c>
      <c r="K52" s="240">
        <v>114.6973076923077</v>
      </c>
      <c r="L52" s="250">
        <f t="shared" si="64"/>
        <v>-5.71576923076924</v>
      </c>
      <c r="M52" s="241">
        <f t="shared" ref="M52:M57" si="71">ROUND(C52*1.02,2)</f>
        <v>1605.66</v>
      </c>
      <c r="N52" s="104"/>
      <c r="O52" s="79"/>
    </row>
    <row r="53" spans="1:15" ht="18" x14ac:dyDescent="0.25">
      <c r="A53" s="244" t="s">
        <v>20</v>
      </c>
      <c r="B53" s="242" t="s">
        <v>57</v>
      </c>
      <c r="C53" s="243">
        <v>916.92</v>
      </c>
      <c r="D53" s="234">
        <f t="shared" si="65"/>
        <v>423.19</v>
      </c>
      <c r="E53" s="234">
        <f t="shared" si="66"/>
        <v>359.71</v>
      </c>
      <c r="F53" s="297">
        <f t="shared" si="67"/>
        <v>63.48</v>
      </c>
      <c r="G53" s="235">
        <f t="shared" si="68"/>
        <v>11003.04</v>
      </c>
      <c r="H53" s="237">
        <f t="shared" si="69"/>
        <v>1650.46</v>
      </c>
      <c r="I53" s="238">
        <f t="shared" si="70"/>
        <v>9352.58</v>
      </c>
      <c r="J53" s="239">
        <f t="shared" si="63"/>
        <v>63.479230769230767</v>
      </c>
      <c r="K53" s="240">
        <v>65.718076923076922</v>
      </c>
      <c r="L53" s="250">
        <f t="shared" si="64"/>
        <v>-2.2388461538461542</v>
      </c>
      <c r="M53" s="241">
        <f t="shared" si="71"/>
        <v>935.26</v>
      </c>
      <c r="N53" s="104"/>
      <c r="O53" s="79"/>
    </row>
    <row r="54" spans="1:15" ht="18" x14ac:dyDescent="0.25">
      <c r="A54" s="242" t="s">
        <v>21</v>
      </c>
      <c r="B54" s="242" t="s">
        <v>97</v>
      </c>
      <c r="C54" s="243">
        <v>2146.3200000000002</v>
      </c>
      <c r="D54" s="234">
        <f>ROUND(G54/26,2)</f>
        <v>990.61</v>
      </c>
      <c r="E54" s="243">
        <f>ROUND(0.8*D54,2)</f>
        <v>792.49</v>
      </c>
      <c r="F54" s="298">
        <f>ROUND(0.2*D54,2)</f>
        <v>198.12</v>
      </c>
      <c r="G54" s="245">
        <f>ROUND(C54*12,2)</f>
        <v>25755.84</v>
      </c>
      <c r="H54" s="247">
        <f>ROUND(G54*0.2,2)</f>
        <v>5151.17</v>
      </c>
      <c r="I54" s="248">
        <f>ROUND(G54-H54,2)</f>
        <v>20604.669999999998</v>
      </c>
      <c r="J54" s="249">
        <f t="shared" si="63"/>
        <v>198.12192307692308</v>
      </c>
      <c r="K54" s="240">
        <v>182.76923076923077</v>
      </c>
      <c r="L54" s="250">
        <f t="shared" si="64"/>
        <v>15.352692307692308</v>
      </c>
      <c r="M54" s="241">
        <f t="shared" si="71"/>
        <v>2189.25</v>
      </c>
      <c r="N54" s="104"/>
      <c r="O54" s="79"/>
    </row>
    <row r="55" spans="1:15" ht="18" x14ac:dyDescent="0.25">
      <c r="A55" s="244" t="s">
        <v>22</v>
      </c>
      <c r="B55" s="242" t="s">
        <v>16</v>
      </c>
      <c r="C55" s="243">
        <v>829.23</v>
      </c>
      <c r="D55" s="234">
        <f t="shared" ref="D55:D57" si="72">ROUND(G55/26,2)</f>
        <v>382.72</v>
      </c>
      <c r="E55" s="243">
        <f t="shared" ref="E55:E57" si="73">ROUND(0.8*D55,2)</f>
        <v>306.18</v>
      </c>
      <c r="F55" s="298">
        <f t="shared" ref="F55:F57" si="74">ROUND(0.2*D55,2)</f>
        <v>76.540000000000006</v>
      </c>
      <c r="G55" s="245">
        <f t="shared" ref="G55:G57" si="75">ROUND(C55*12,2)</f>
        <v>9950.76</v>
      </c>
      <c r="H55" s="247">
        <f t="shared" ref="H55:H57" si="76">ROUND(G55*0.2,2)</f>
        <v>1990.15</v>
      </c>
      <c r="I55" s="248">
        <f t="shared" ref="I55:I57" si="77">ROUND(G55-H55,2)</f>
        <v>7960.61</v>
      </c>
      <c r="J55" s="249">
        <f t="shared" si="63"/>
        <v>76.544230769230779</v>
      </c>
      <c r="K55" s="240">
        <v>72.553846153846152</v>
      </c>
      <c r="L55" s="250">
        <f t="shared" si="64"/>
        <v>3.9903846153846274</v>
      </c>
      <c r="M55" s="241">
        <f t="shared" si="71"/>
        <v>845.81</v>
      </c>
      <c r="N55" s="104"/>
      <c r="O55" s="79"/>
    </row>
    <row r="56" spans="1:15" ht="18" x14ac:dyDescent="0.25">
      <c r="A56" s="242" t="s">
        <v>23</v>
      </c>
      <c r="B56" s="242" t="s">
        <v>16</v>
      </c>
      <c r="C56" s="243">
        <v>1764</v>
      </c>
      <c r="D56" s="234">
        <f t="shared" si="72"/>
        <v>814.15</v>
      </c>
      <c r="E56" s="243">
        <f t="shared" si="73"/>
        <v>651.32000000000005</v>
      </c>
      <c r="F56" s="298">
        <f t="shared" si="74"/>
        <v>162.83000000000001</v>
      </c>
      <c r="G56" s="245">
        <f t="shared" si="75"/>
        <v>21168</v>
      </c>
      <c r="H56" s="247">
        <f t="shared" si="76"/>
        <v>4233.6000000000004</v>
      </c>
      <c r="I56" s="248">
        <f t="shared" si="77"/>
        <v>16934.400000000001</v>
      </c>
      <c r="J56" s="249">
        <f t="shared" si="63"/>
        <v>162.83076923076925</v>
      </c>
      <c r="K56" s="240">
        <v>162.83076923076925</v>
      </c>
      <c r="L56" s="250">
        <f t="shared" si="64"/>
        <v>0</v>
      </c>
      <c r="M56" s="241">
        <f t="shared" si="71"/>
        <v>1799.28</v>
      </c>
      <c r="N56" s="104"/>
      <c r="O56" s="79"/>
    </row>
    <row r="57" spans="1:15" ht="18" x14ac:dyDescent="0.25">
      <c r="A57" s="242" t="s">
        <v>24</v>
      </c>
      <c r="B57" s="242" t="s">
        <v>16</v>
      </c>
      <c r="C57" s="243">
        <v>1230.8399999999999</v>
      </c>
      <c r="D57" s="234">
        <f t="shared" si="72"/>
        <v>568.08000000000004</v>
      </c>
      <c r="E57" s="243">
        <f t="shared" si="73"/>
        <v>454.46</v>
      </c>
      <c r="F57" s="298">
        <f t="shared" si="74"/>
        <v>113.62</v>
      </c>
      <c r="G57" s="245">
        <f t="shared" si="75"/>
        <v>14770.08</v>
      </c>
      <c r="H57" s="247">
        <f t="shared" si="76"/>
        <v>2954.02</v>
      </c>
      <c r="I57" s="248">
        <f t="shared" si="77"/>
        <v>11816.06</v>
      </c>
      <c r="J57" s="249">
        <f t="shared" si="63"/>
        <v>113.61615384615385</v>
      </c>
      <c r="K57" s="240">
        <v>108</v>
      </c>
      <c r="L57" s="250">
        <f t="shared" si="64"/>
        <v>5.6161538461538498</v>
      </c>
      <c r="M57" s="241">
        <f t="shared" si="71"/>
        <v>1255.46</v>
      </c>
      <c r="N57" s="104"/>
      <c r="O57" s="79"/>
    </row>
    <row r="58" spans="1:15" s="13" customFormat="1" ht="18.75" hidden="1" x14ac:dyDescent="0.3">
      <c r="A58" s="299" t="s">
        <v>25</v>
      </c>
      <c r="B58" s="242" t="s">
        <v>16</v>
      </c>
      <c r="C58" s="243">
        <v>119.59</v>
      </c>
      <c r="D58" s="234">
        <f t="shared" ref="D58:D62" si="78">G58/26</f>
        <v>55.195384615384611</v>
      </c>
      <c r="E58" s="243">
        <f t="shared" ref="E58:E59" si="79">0.8*D58</f>
        <v>44.156307692307692</v>
      </c>
      <c r="F58" s="298">
        <f t="shared" ref="F58:F59" si="80">0.2*D58</f>
        <v>11.039076923076923</v>
      </c>
      <c r="G58" s="245">
        <f t="shared" ref="G58:G62" si="81">C58*12</f>
        <v>1435.08</v>
      </c>
      <c r="H58" s="247">
        <f t="shared" ref="H58:H60" si="82">G58*0.2</f>
        <v>287.01600000000002</v>
      </c>
      <c r="I58" s="248">
        <f t="shared" ref="I58:I60" si="83">G58-H58</f>
        <v>1148.0639999999999</v>
      </c>
      <c r="J58" s="249">
        <f t="shared" ref="J58:J62" si="84">H58/26</f>
        <v>11.039076923076923</v>
      </c>
      <c r="K58" s="250">
        <v>11.25</v>
      </c>
      <c r="L58" s="250">
        <f t="shared" ref="L58:L62" si="85">J58-K58</f>
        <v>-0.21092307692307699</v>
      </c>
      <c r="M58" s="305">
        <f t="shared" si="23"/>
        <v>121.98180000000001</v>
      </c>
      <c r="N58" s="105"/>
    </row>
    <row r="59" spans="1:15" s="13" customFormat="1" ht="18.75" hidden="1" x14ac:dyDescent="0.3">
      <c r="A59" s="299" t="s">
        <v>26</v>
      </c>
      <c r="B59" s="242" t="s">
        <v>16</v>
      </c>
      <c r="C59" s="243">
        <v>50.85</v>
      </c>
      <c r="D59" s="234">
        <f t="shared" si="78"/>
        <v>23.469230769230769</v>
      </c>
      <c r="E59" s="243">
        <f t="shared" si="79"/>
        <v>18.775384615384617</v>
      </c>
      <c r="F59" s="298">
        <f t="shared" si="80"/>
        <v>4.6938461538461542</v>
      </c>
      <c r="G59" s="245">
        <f t="shared" si="81"/>
        <v>610.20000000000005</v>
      </c>
      <c r="H59" s="247">
        <f t="shared" si="82"/>
        <v>122.04000000000002</v>
      </c>
      <c r="I59" s="248">
        <f t="shared" si="83"/>
        <v>488.16</v>
      </c>
      <c r="J59" s="249">
        <f t="shared" si="84"/>
        <v>4.6938461538461542</v>
      </c>
      <c r="K59" s="250">
        <v>11.25</v>
      </c>
      <c r="L59" s="250">
        <f t="shared" si="85"/>
        <v>-6.5561538461538458</v>
      </c>
      <c r="M59" s="305">
        <f t="shared" si="23"/>
        <v>51.867000000000004</v>
      </c>
      <c r="N59" s="105"/>
    </row>
    <row r="60" spans="1:15" s="13" customFormat="1" ht="18.75" hidden="1" x14ac:dyDescent="0.3">
      <c r="A60" s="299" t="s">
        <v>27</v>
      </c>
      <c r="B60" s="242" t="s">
        <v>16</v>
      </c>
      <c r="C60" s="243">
        <v>9.52</v>
      </c>
      <c r="D60" s="234">
        <f t="shared" si="78"/>
        <v>4.3938461538461535</v>
      </c>
      <c r="E60" s="243">
        <f>D60*0.8</f>
        <v>3.515076923076923</v>
      </c>
      <c r="F60" s="298">
        <f>D60-E60</f>
        <v>0.87876923076923052</v>
      </c>
      <c r="G60" s="245">
        <f t="shared" si="81"/>
        <v>114.24</v>
      </c>
      <c r="H60" s="247">
        <f t="shared" si="82"/>
        <v>22.847999999999999</v>
      </c>
      <c r="I60" s="248">
        <f t="shared" si="83"/>
        <v>91.391999999999996</v>
      </c>
      <c r="J60" s="249">
        <f t="shared" si="84"/>
        <v>0.87876923076923075</v>
      </c>
      <c r="K60" s="250">
        <v>1.08</v>
      </c>
      <c r="L60" s="250">
        <f t="shared" si="85"/>
        <v>-0.20123076923076932</v>
      </c>
      <c r="M60" s="305">
        <f t="shared" si="23"/>
        <v>9.7103999999999999</v>
      </c>
      <c r="N60" s="105"/>
    </row>
    <row r="61" spans="1:15" s="13" customFormat="1" ht="18.75" hidden="1" x14ac:dyDescent="0.3">
      <c r="A61" s="299" t="s">
        <v>28</v>
      </c>
      <c r="B61" s="260" t="s">
        <v>50</v>
      </c>
      <c r="C61" s="243">
        <v>16.47</v>
      </c>
      <c r="D61" s="234">
        <f t="shared" si="78"/>
        <v>7.6015384615384614</v>
      </c>
      <c r="E61" s="243">
        <f>E60</f>
        <v>3.515076923076923</v>
      </c>
      <c r="F61" s="298">
        <f>D61-E61</f>
        <v>4.0864615384615384</v>
      </c>
      <c r="G61" s="245">
        <f t="shared" si="81"/>
        <v>197.64</v>
      </c>
      <c r="H61" s="247">
        <f>G61-I61</f>
        <v>106.24999999999999</v>
      </c>
      <c r="I61" s="248">
        <v>91.39</v>
      </c>
      <c r="J61" s="249">
        <f t="shared" si="84"/>
        <v>4.0865384615384608</v>
      </c>
      <c r="K61" s="250">
        <v>5.28</v>
      </c>
      <c r="L61" s="250">
        <f t="shared" si="85"/>
        <v>-1.1934615384615395</v>
      </c>
      <c r="M61" s="305">
        <f t="shared" si="23"/>
        <v>16.799399999999999</v>
      </c>
      <c r="N61" s="105"/>
    </row>
    <row r="62" spans="1:15" s="13" customFormat="1" ht="18.75" hidden="1" x14ac:dyDescent="0.3">
      <c r="A62" s="299" t="s">
        <v>29</v>
      </c>
      <c r="B62" s="260" t="s">
        <v>50</v>
      </c>
      <c r="C62" s="243">
        <v>28.61</v>
      </c>
      <c r="D62" s="234">
        <f t="shared" si="78"/>
        <v>13.204615384615384</v>
      </c>
      <c r="E62" s="243">
        <f>E60</f>
        <v>3.515076923076923</v>
      </c>
      <c r="F62" s="298">
        <f>D62-E62</f>
        <v>9.6895384615384614</v>
      </c>
      <c r="G62" s="245">
        <f t="shared" si="81"/>
        <v>343.32</v>
      </c>
      <c r="H62" s="247">
        <f>G62-I62</f>
        <v>251.93</v>
      </c>
      <c r="I62" s="248">
        <v>91.39</v>
      </c>
      <c r="J62" s="249">
        <f t="shared" si="84"/>
        <v>9.6896153846153847</v>
      </c>
      <c r="K62" s="250">
        <v>9.6999999999999993</v>
      </c>
      <c r="L62" s="258">
        <f t="shared" si="85"/>
        <v>-1.0384615384614548E-2</v>
      </c>
      <c r="M62" s="305">
        <f t="shared" si="23"/>
        <v>29.182200000000002</v>
      </c>
      <c r="N62" s="105"/>
    </row>
    <row r="63" spans="1:15" s="13" customFormat="1" ht="18.75" hidden="1" x14ac:dyDescent="0.3">
      <c r="A63" s="306" t="s">
        <v>52</v>
      </c>
      <c r="B63" s="307"/>
      <c r="C63" s="308"/>
      <c r="D63" s="309"/>
      <c r="E63" s="309"/>
      <c r="F63" s="310"/>
      <c r="G63" s="309"/>
      <c r="H63" s="311"/>
      <c r="I63" s="312"/>
      <c r="J63" s="313"/>
      <c r="K63" s="314"/>
      <c r="L63" s="315"/>
      <c r="M63" s="316"/>
      <c r="N63" s="105"/>
    </row>
    <row r="64" spans="1:15" s="13" customFormat="1" ht="18.75" hidden="1" x14ac:dyDescent="0.3">
      <c r="A64" s="299" t="s">
        <v>93</v>
      </c>
      <c r="B64" s="242" t="s">
        <v>16</v>
      </c>
      <c r="C64" s="317">
        <v>0.77</v>
      </c>
      <c r="D64" s="318"/>
      <c r="E64" s="318"/>
      <c r="F64" s="318"/>
      <c r="G64" s="318"/>
      <c r="H64" s="242"/>
      <c r="I64" s="242"/>
      <c r="J64" s="289"/>
      <c r="K64" s="242"/>
      <c r="L64" s="237">
        <v>-0.67</v>
      </c>
      <c r="M64" s="319"/>
      <c r="N64" s="105"/>
    </row>
    <row r="65" spans="1:14" s="13" customFormat="1" ht="18.75" hidden="1" x14ac:dyDescent="0.3">
      <c r="A65" s="299" t="s">
        <v>44</v>
      </c>
      <c r="B65" s="242" t="s">
        <v>45</v>
      </c>
      <c r="C65" s="317">
        <v>17</v>
      </c>
      <c r="D65" s="318"/>
      <c r="E65" s="318"/>
      <c r="F65" s="318"/>
      <c r="G65" s="320">
        <v>8.5</v>
      </c>
      <c r="H65" s="242"/>
      <c r="I65" s="242"/>
      <c r="J65" s="320">
        <v>8.5</v>
      </c>
      <c r="K65" s="242"/>
      <c r="L65" s="247">
        <v>0</v>
      </c>
      <c r="M65" s="321"/>
      <c r="N65" s="105"/>
    </row>
    <row r="66" spans="1:14" s="13" customFormat="1" ht="18.75" hidden="1" x14ac:dyDescent="0.3">
      <c r="A66" s="299" t="s">
        <v>46</v>
      </c>
      <c r="B66" s="242" t="s">
        <v>45</v>
      </c>
      <c r="C66" s="317">
        <v>15.5</v>
      </c>
      <c r="D66" s="318"/>
      <c r="E66" s="318"/>
      <c r="F66" s="318"/>
      <c r="G66" s="320">
        <v>7.5</v>
      </c>
      <c r="H66" s="242"/>
      <c r="I66" s="242"/>
      <c r="J66" s="320">
        <v>7.75</v>
      </c>
      <c r="K66" s="242"/>
      <c r="L66" s="247">
        <v>0</v>
      </c>
      <c r="M66" s="321"/>
      <c r="N66" s="105"/>
    </row>
    <row r="67" spans="1:14" s="13" customFormat="1" ht="18.75" hidden="1" x14ac:dyDescent="0.3">
      <c r="A67" s="299" t="s">
        <v>94</v>
      </c>
      <c r="B67" s="242" t="s">
        <v>16</v>
      </c>
      <c r="C67" s="322">
        <v>0.11600000000000001</v>
      </c>
      <c r="D67" s="318"/>
      <c r="E67" s="318"/>
      <c r="F67" s="318"/>
      <c r="G67" s="318"/>
      <c r="H67" s="242"/>
      <c r="I67" s="242"/>
      <c r="J67" s="289"/>
      <c r="K67" s="242"/>
      <c r="L67" s="296">
        <f>0.116-0.204</f>
        <v>-8.7999999999999981E-2</v>
      </c>
      <c r="M67" s="321"/>
      <c r="N67" s="105"/>
    </row>
    <row r="68" spans="1:14" s="13" customFormat="1" ht="18.75" hidden="1" x14ac:dyDescent="0.3">
      <c r="A68" s="299" t="s">
        <v>95</v>
      </c>
      <c r="B68" s="242" t="s">
        <v>16</v>
      </c>
      <c r="C68" s="322">
        <v>2.5000000000000001E-2</v>
      </c>
      <c r="D68" s="318"/>
      <c r="E68" s="318"/>
      <c r="F68" s="318"/>
      <c r="G68" s="318"/>
      <c r="H68" s="242"/>
      <c r="I68" s="242"/>
      <c r="J68" s="289"/>
      <c r="K68" s="242"/>
      <c r="L68" s="247">
        <v>0</v>
      </c>
      <c r="M68" s="321"/>
      <c r="N68" s="105"/>
    </row>
    <row r="69" spans="1:14" s="13" customFormat="1" ht="18.75" hidden="1" x14ac:dyDescent="0.3">
      <c r="A69" s="323"/>
      <c r="B69" s="324"/>
      <c r="C69" s="325"/>
      <c r="D69" s="325"/>
      <c r="E69" s="325"/>
      <c r="F69" s="326"/>
      <c r="G69" s="327"/>
      <c r="H69" s="324"/>
      <c r="I69" s="328"/>
      <c r="J69" s="329"/>
      <c r="K69" s="324"/>
      <c r="L69" s="324"/>
      <c r="M69" s="330"/>
      <c r="N69" s="105"/>
    </row>
    <row r="70" spans="1:14" s="13" customFormat="1" ht="18.75" hidden="1" x14ac:dyDescent="0.3">
      <c r="A70" s="331" t="s">
        <v>56</v>
      </c>
      <c r="B70" s="329"/>
      <c r="C70" s="326"/>
      <c r="D70" s="326"/>
      <c r="E70" s="326"/>
      <c r="F70" s="327"/>
      <c r="G70" s="327"/>
      <c r="H70" s="324"/>
      <c r="I70" s="328"/>
      <c r="J70" s="329"/>
      <c r="K70" s="324"/>
      <c r="L70" s="324"/>
      <c r="M70" s="330"/>
      <c r="N70" s="105"/>
    </row>
    <row r="71" spans="1:14" ht="18.75" hidden="1" x14ac:dyDescent="0.3">
      <c r="A71" s="233" t="s">
        <v>25</v>
      </c>
      <c r="B71" s="242" t="s">
        <v>16</v>
      </c>
      <c r="C71" s="243">
        <v>119.59</v>
      </c>
      <c r="D71" s="234">
        <f t="shared" ref="D71:D80" si="86">G71/26</f>
        <v>55.195384615384611</v>
      </c>
      <c r="E71" s="243">
        <f t="shared" ref="E71:E72" si="87">0.8*D71</f>
        <v>44.156307692307692</v>
      </c>
      <c r="F71" s="298">
        <f t="shared" ref="F71:F72" si="88">0.2*D71</f>
        <v>11.039076923076923</v>
      </c>
      <c r="G71" s="245">
        <f t="shared" ref="G71:G80" si="89">C71*12</f>
        <v>1435.08</v>
      </c>
      <c r="H71" s="247">
        <f t="shared" ref="H71:H73" si="90">G71*0.2</f>
        <v>287.01600000000002</v>
      </c>
      <c r="I71" s="248">
        <f t="shared" ref="I71:I73" si="91">G71-H71</f>
        <v>1148.0639999999999</v>
      </c>
      <c r="J71" s="249">
        <f t="shared" ref="J71:J80" si="92">H71/26</f>
        <v>11.039076923076923</v>
      </c>
      <c r="K71" s="250">
        <v>11.25</v>
      </c>
      <c r="L71" s="250">
        <f t="shared" ref="L71:L80" si="93">J71-K71</f>
        <v>-0.21092307692307699</v>
      </c>
      <c r="M71" s="305">
        <f t="shared" ref="M71:M80" si="94">C71*1.02</f>
        <v>121.98180000000001</v>
      </c>
      <c r="N71" s="104"/>
    </row>
    <row r="72" spans="1:14" ht="18.75" hidden="1" x14ac:dyDescent="0.3">
      <c r="A72" s="233" t="s">
        <v>26</v>
      </c>
      <c r="B72" s="242" t="s">
        <v>16</v>
      </c>
      <c r="C72" s="243">
        <v>50.85</v>
      </c>
      <c r="D72" s="234">
        <f t="shared" si="86"/>
        <v>23.469230769230769</v>
      </c>
      <c r="E72" s="243">
        <f t="shared" si="87"/>
        <v>18.775384615384617</v>
      </c>
      <c r="F72" s="298">
        <f t="shared" si="88"/>
        <v>4.6938461538461542</v>
      </c>
      <c r="G72" s="245">
        <f t="shared" si="89"/>
        <v>610.20000000000005</v>
      </c>
      <c r="H72" s="247">
        <f t="shared" si="90"/>
        <v>122.04000000000002</v>
      </c>
      <c r="I72" s="248">
        <f t="shared" si="91"/>
        <v>488.16</v>
      </c>
      <c r="J72" s="249">
        <f t="shared" si="92"/>
        <v>4.6938461538461542</v>
      </c>
      <c r="K72" s="250">
        <v>11.25</v>
      </c>
      <c r="L72" s="250">
        <f t="shared" si="93"/>
        <v>-6.5561538461538458</v>
      </c>
      <c r="M72" s="305">
        <f t="shared" si="94"/>
        <v>51.867000000000004</v>
      </c>
      <c r="N72" s="104"/>
    </row>
    <row r="73" spans="1:14" ht="18.75" hidden="1" x14ac:dyDescent="0.3">
      <c r="A73" s="233" t="s">
        <v>27</v>
      </c>
      <c r="B73" s="242" t="s">
        <v>16</v>
      </c>
      <c r="C73" s="243">
        <v>9.52</v>
      </c>
      <c r="D73" s="234">
        <f t="shared" si="86"/>
        <v>4.3938461538461535</v>
      </c>
      <c r="E73" s="243">
        <f>D73*0.8</f>
        <v>3.515076923076923</v>
      </c>
      <c r="F73" s="298">
        <f>D73-E73</f>
        <v>0.87876923076923052</v>
      </c>
      <c r="G73" s="245">
        <f t="shared" si="89"/>
        <v>114.24</v>
      </c>
      <c r="H73" s="247">
        <f t="shared" si="90"/>
        <v>22.847999999999999</v>
      </c>
      <c r="I73" s="248">
        <f t="shared" si="91"/>
        <v>91.391999999999996</v>
      </c>
      <c r="J73" s="249">
        <f t="shared" si="92"/>
        <v>0.87876923076923075</v>
      </c>
      <c r="K73" s="250">
        <v>1.08</v>
      </c>
      <c r="L73" s="250">
        <f t="shared" si="93"/>
        <v>-0.20123076923076932</v>
      </c>
      <c r="M73" s="305">
        <f t="shared" si="94"/>
        <v>9.7103999999999999</v>
      </c>
      <c r="N73" s="104"/>
    </row>
    <row r="74" spans="1:14" ht="18.75" hidden="1" x14ac:dyDescent="0.3">
      <c r="A74" s="233" t="s">
        <v>28</v>
      </c>
      <c r="B74" s="260" t="s">
        <v>50</v>
      </c>
      <c r="C74" s="243">
        <v>16.47</v>
      </c>
      <c r="D74" s="234">
        <f t="shared" si="86"/>
        <v>7.6015384615384614</v>
      </c>
      <c r="E74" s="243">
        <f>E73</f>
        <v>3.515076923076923</v>
      </c>
      <c r="F74" s="298">
        <f>D74-E74</f>
        <v>4.0864615384615384</v>
      </c>
      <c r="G74" s="245">
        <f t="shared" si="89"/>
        <v>197.64</v>
      </c>
      <c r="H74" s="247">
        <f>G74-I74</f>
        <v>106.24999999999999</v>
      </c>
      <c r="I74" s="248">
        <v>91.39</v>
      </c>
      <c r="J74" s="249">
        <f t="shared" si="92"/>
        <v>4.0865384615384608</v>
      </c>
      <c r="K74" s="250">
        <v>5.28</v>
      </c>
      <c r="L74" s="250">
        <f t="shared" si="93"/>
        <v>-1.1934615384615395</v>
      </c>
      <c r="M74" s="305">
        <f t="shared" si="94"/>
        <v>16.799399999999999</v>
      </c>
      <c r="N74" s="104"/>
    </row>
    <row r="75" spans="1:14" ht="18.75" hidden="1" x14ac:dyDescent="0.3">
      <c r="A75" s="233" t="s">
        <v>29</v>
      </c>
      <c r="B75" s="260" t="s">
        <v>50</v>
      </c>
      <c r="C75" s="243">
        <v>28.61</v>
      </c>
      <c r="D75" s="234">
        <f t="shared" si="86"/>
        <v>13.204615384615384</v>
      </c>
      <c r="E75" s="243">
        <f>E73</f>
        <v>3.515076923076923</v>
      </c>
      <c r="F75" s="298">
        <f>D75-E75</f>
        <v>9.6895384615384614</v>
      </c>
      <c r="G75" s="245">
        <f t="shared" si="89"/>
        <v>343.32</v>
      </c>
      <c r="H75" s="247">
        <f>G75-I75</f>
        <v>251.93</v>
      </c>
      <c r="I75" s="248">
        <v>91.39</v>
      </c>
      <c r="J75" s="249">
        <f t="shared" si="92"/>
        <v>9.6896153846153847</v>
      </c>
      <c r="K75" s="250">
        <v>9.6999999999999993</v>
      </c>
      <c r="L75" s="250">
        <f t="shared" si="93"/>
        <v>-1.0384615384614548E-2</v>
      </c>
      <c r="M75" s="332">
        <f t="shared" si="94"/>
        <v>29.182200000000002</v>
      </c>
      <c r="N75" s="104"/>
    </row>
    <row r="76" spans="1:14" ht="18.75" x14ac:dyDescent="0.3">
      <c r="A76" s="233" t="s">
        <v>25</v>
      </c>
      <c r="B76" s="233" t="s">
        <v>16</v>
      </c>
      <c r="C76" s="243">
        <v>119.59</v>
      </c>
      <c r="D76" s="234">
        <f t="shared" si="86"/>
        <v>55.195384615384611</v>
      </c>
      <c r="E76" s="243">
        <f t="shared" ref="E76:E77" si="95">0.8*D76</f>
        <v>44.156307692307692</v>
      </c>
      <c r="F76" s="298">
        <f t="shared" ref="F76:F77" si="96">0.2*D76</f>
        <v>11.039076923076923</v>
      </c>
      <c r="G76" s="245">
        <f t="shared" si="89"/>
        <v>1435.08</v>
      </c>
      <c r="H76" s="247">
        <f t="shared" ref="H76:H78" si="97">G76*0.2</f>
        <v>287.01600000000002</v>
      </c>
      <c r="I76" s="248">
        <f t="shared" ref="I76:I78" si="98">G76-H76</f>
        <v>1148.0639999999999</v>
      </c>
      <c r="J76" s="255">
        <f t="shared" si="92"/>
        <v>11.039076923076923</v>
      </c>
      <c r="K76" s="256">
        <v>11.039076923076923</v>
      </c>
      <c r="L76" s="256">
        <f t="shared" si="93"/>
        <v>0</v>
      </c>
      <c r="M76" s="301">
        <f t="shared" si="94"/>
        <v>121.98180000000001</v>
      </c>
      <c r="N76" s="104"/>
    </row>
    <row r="77" spans="1:14" ht="18.75" x14ac:dyDescent="0.3">
      <c r="A77" s="233" t="s">
        <v>26</v>
      </c>
      <c r="B77" s="233" t="s">
        <v>16</v>
      </c>
      <c r="C77" s="243">
        <v>50.85</v>
      </c>
      <c r="D77" s="234">
        <f t="shared" si="86"/>
        <v>23.469230769230769</v>
      </c>
      <c r="E77" s="243">
        <f t="shared" si="95"/>
        <v>18.775384615384617</v>
      </c>
      <c r="F77" s="298">
        <f t="shared" si="96"/>
        <v>4.6938461538461542</v>
      </c>
      <c r="G77" s="245">
        <f t="shared" si="89"/>
        <v>610.20000000000005</v>
      </c>
      <c r="H77" s="247">
        <f t="shared" si="97"/>
        <v>122.04000000000002</v>
      </c>
      <c r="I77" s="248">
        <f t="shared" si="98"/>
        <v>488.16</v>
      </c>
      <c r="J77" s="255">
        <f t="shared" si="92"/>
        <v>4.6938461538461542</v>
      </c>
      <c r="K77" s="256">
        <v>4.6938461538461542</v>
      </c>
      <c r="L77" s="256">
        <f t="shared" si="93"/>
        <v>0</v>
      </c>
      <c r="M77" s="301">
        <f t="shared" si="94"/>
        <v>51.867000000000004</v>
      </c>
      <c r="N77" s="104"/>
    </row>
    <row r="78" spans="1:14" ht="18.75" x14ac:dyDescent="0.3">
      <c r="A78" s="233" t="s">
        <v>27</v>
      </c>
      <c r="B78" s="233" t="s">
        <v>16</v>
      </c>
      <c r="C78" s="243">
        <v>9.52</v>
      </c>
      <c r="D78" s="234">
        <f t="shared" si="86"/>
        <v>4.3938461538461535</v>
      </c>
      <c r="E78" s="243">
        <f>D78*0.8</f>
        <v>3.515076923076923</v>
      </c>
      <c r="F78" s="298">
        <f>D78-E78</f>
        <v>0.87876923076923052</v>
      </c>
      <c r="G78" s="245">
        <f t="shared" si="89"/>
        <v>114.24</v>
      </c>
      <c r="H78" s="247">
        <f t="shared" si="97"/>
        <v>22.847999999999999</v>
      </c>
      <c r="I78" s="248">
        <f t="shared" si="98"/>
        <v>91.391999999999996</v>
      </c>
      <c r="J78" s="255">
        <f t="shared" si="92"/>
        <v>0.87876923076923075</v>
      </c>
      <c r="K78" s="256">
        <v>0.87876923076923075</v>
      </c>
      <c r="L78" s="256">
        <f t="shared" si="93"/>
        <v>0</v>
      </c>
      <c r="M78" s="301">
        <f t="shared" si="94"/>
        <v>9.7103999999999999</v>
      </c>
      <c r="N78" s="104"/>
    </row>
    <row r="79" spans="1:14" ht="18.75" x14ac:dyDescent="0.3">
      <c r="A79" s="233" t="s">
        <v>28</v>
      </c>
      <c r="B79" s="232" t="s">
        <v>50</v>
      </c>
      <c r="C79" s="243">
        <v>16.47</v>
      </c>
      <c r="D79" s="234">
        <f t="shared" si="86"/>
        <v>7.6015384615384614</v>
      </c>
      <c r="E79" s="243">
        <f>E78</f>
        <v>3.515076923076923</v>
      </c>
      <c r="F79" s="298">
        <f>D79-E79</f>
        <v>4.0864615384615384</v>
      </c>
      <c r="G79" s="245">
        <f t="shared" si="89"/>
        <v>197.64</v>
      </c>
      <c r="H79" s="247">
        <f>G79-I79</f>
        <v>106.24999999999999</v>
      </c>
      <c r="I79" s="248">
        <v>91.39</v>
      </c>
      <c r="J79" s="255">
        <f t="shared" si="92"/>
        <v>4.0865384615384608</v>
      </c>
      <c r="K79" s="256">
        <v>4.0865384615384608</v>
      </c>
      <c r="L79" s="256">
        <f t="shared" si="93"/>
        <v>0</v>
      </c>
      <c r="M79" s="301">
        <f t="shared" si="94"/>
        <v>16.799399999999999</v>
      </c>
    </row>
    <row r="80" spans="1:14" ht="18.75" x14ac:dyDescent="0.3">
      <c r="A80" s="233" t="s">
        <v>29</v>
      </c>
      <c r="B80" s="232" t="s">
        <v>50</v>
      </c>
      <c r="C80" s="243">
        <v>28.61</v>
      </c>
      <c r="D80" s="234">
        <f t="shared" si="86"/>
        <v>13.204615384615384</v>
      </c>
      <c r="E80" s="243">
        <f>E78</f>
        <v>3.515076923076923</v>
      </c>
      <c r="F80" s="298">
        <f>D80-E80</f>
        <v>9.6895384615384614</v>
      </c>
      <c r="G80" s="245">
        <f t="shared" si="89"/>
        <v>343.32</v>
      </c>
      <c r="H80" s="247">
        <f>G80-I80</f>
        <v>251.93</v>
      </c>
      <c r="I80" s="248">
        <v>91.39</v>
      </c>
      <c r="J80" s="255">
        <f t="shared" si="92"/>
        <v>9.6896153846153847</v>
      </c>
      <c r="K80" s="256">
        <v>9.6896153846153847</v>
      </c>
      <c r="L80" s="256">
        <f t="shared" si="93"/>
        <v>0</v>
      </c>
      <c r="M80" s="333">
        <f t="shared" si="94"/>
        <v>29.182200000000002</v>
      </c>
    </row>
    <row r="81" spans="1:13" ht="15.75" x14ac:dyDescent="0.25">
      <c r="A81" s="145" t="s">
        <v>52</v>
      </c>
      <c r="B81" s="268"/>
      <c r="C81" s="269"/>
      <c r="D81" s="270"/>
      <c r="E81" s="270"/>
      <c r="F81" s="271"/>
      <c r="G81" s="270"/>
      <c r="H81" s="277"/>
      <c r="I81" s="278"/>
      <c r="J81" s="285"/>
      <c r="K81" s="279"/>
      <c r="L81" s="272"/>
      <c r="M81" s="273"/>
    </row>
    <row r="82" spans="1:13" ht="18.75" x14ac:dyDescent="0.3">
      <c r="A82" s="233" t="s">
        <v>93</v>
      </c>
      <c r="B82" s="233" t="s">
        <v>16</v>
      </c>
      <c r="C82" s="291">
        <v>0.77</v>
      </c>
      <c r="D82" s="288"/>
      <c r="E82" s="288"/>
      <c r="F82" s="288"/>
      <c r="G82" s="289"/>
      <c r="H82" s="242"/>
      <c r="I82" s="242"/>
      <c r="J82" s="289"/>
      <c r="K82" s="242"/>
      <c r="L82" s="237">
        <v>0</v>
      </c>
      <c r="M82" s="290"/>
    </row>
    <row r="83" spans="1:13" ht="18.75" x14ac:dyDescent="0.3">
      <c r="A83" s="233" t="s">
        <v>100</v>
      </c>
      <c r="B83" s="233" t="s">
        <v>45</v>
      </c>
      <c r="C83" s="291">
        <v>17</v>
      </c>
      <c r="D83" s="288"/>
      <c r="E83" s="288"/>
      <c r="F83" s="298">
        <v>8.5</v>
      </c>
      <c r="G83" s="293">
        <v>8.5</v>
      </c>
      <c r="H83" s="242"/>
      <c r="I83" s="242"/>
      <c r="J83" s="293">
        <v>8.5</v>
      </c>
      <c r="K83" s="242"/>
      <c r="L83" s="247">
        <v>0</v>
      </c>
      <c r="M83" s="294"/>
    </row>
    <row r="84" spans="1:13" ht="18.75" x14ac:dyDescent="0.3">
      <c r="A84" s="233" t="s">
        <v>94</v>
      </c>
      <c r="B84" s="233" t="s">
        <v>16</v>
      </c>
      <c r="C84" s="295">
        <v>0.11600000000000001</v>
      </c>
      <c r="D84" s="288"/>
      <c r="E84" s="288"/>
      <c r="F84" s="288"/>
      <c r="G84" s="289"/>
      <c r="H84" s="242"/>
      <c r="I84" s="242"/>
      <c r="J84" s="289"/>
      <c r="K84" s="242"/>
      <c r="L84" s="296">
        <v>0</v>
      </c>
      <c r="M84" s="294"/>
    </row>
    <row r="85" spans="1:13" ht="18.75" x14ac:dyDescent="0.3">
      <c r="A85" s="233" t="s">
        <v>95</v>
      </c>
      <c r="B85" s="233" t="s">
        <v>16</v>
      </c>
      <c r="C85" s="295">
        <v>2.5000000000000001E-2</v>
      </c>
      <c r="D85" s="288"/>
      <c r="E85" s="288"/>
      <c r="F85" s="288"/>
      <c r="G85" s="289"/>
      <c r="H85" s="242"/>
      <c r="I85" s="242"/>
      <c r="J85" s="289"/>
      <c r="K85" s="242"/>
      <c r="L85" s="247">
        <v>0</v>
      </c>
      <c r="M85" s="294"/>
    </row>
    <row r="86" spans="1:13" x14ac:dyDescent="0.25">
      <c r="A86" s="6"/>
      <c r="B86" s="6"/>
      <c r="C86" s="274"/>
      <c r="D86" s="274"/>
      <c r="E86" s="274"/>
      <c r="F86" s="276"/>
      <c r="G86" s="16"/>
      <c r="I86" s="4"/>
      <c r="L86" s="6"/>
      <c r="M86" s="7"/>
    </row>
    <row r="87" spans="1:13" x14ac:dyDescent="0.25">
      <c r="A87" s="275" t="s">
        <v>56</v>
      </c>
      <c r="B87" s="275"/>
      <c r="C87" s="276"/>
      <c r="D87" s="276"/>
      <c r="E87" s="276"/>
      <c r="F87" s="275"/>
      <c r="G87" s="275"/>
      <c r="H87" s="6"/>
      <c r="I87" s="6"/>
      <c r="J87" s="275"/>
      <c r="K87" s="6"/>
      <c r="L87" s="6"/>
      <c r="M87" s="7"/>
    </row>
    <row r="88" spans="1:13" x14ac:dyDescent="0.25">
      <c r="A88" s="6"/>
      <c r="B88" s="6"/>
      <c r="C88" s="274"/>
      <c r="D88" s="274"/>
      <c r="E88" s="274"/>
      <c r="F88" s="276"/>
      <c r="G88" s="275"/>
      <c r="H88" s="6"/>
      <c r="I88" s="6"/>
      <c r="J88" s="275"/>
      <c r="K88" s="6"/>
      <c r="L88" s="6"/>
      <c r="M88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1"/>
  <sheetViews>
    <sheetView topLeftCell="A4" zoomScaleNormal="100" workbookViewId="0">
      <pane xSplit="1" ySplit="3" topLeftCell="B48" activePane="bottomRight" state="frozen"/>
      <selection activeCell="A4" sqref="A4"/>
      <selection pane="topRight" activeCell="B4" sqref="B4"/>
      <selection pane="bottomLeft" activeCell="A7" sqref="A7"/>
      <selection pane="bottomRight" activeCell="A5" sqref="A5:K101"/>
    </sheetView>
  </sheetViews>
  <sheetFormatPr defaultColWidth="9.140625" defaultRowHeight="15" x14ac:dyDescent="0.25"/>
  <cols>
    <col min="1" max="1" width="51.7109375" style="1" customWidth="1"/>
    <col min="2" max="2" width="11.140625" style="4" customWidth="1"/>
    <col min="3" max="3" width="14" style="2" customWidth="1"/>
    <col min="4" max="4" width="13.7109375" style="2" customWidth="1"/>
    <col min="5" max="5" width="13.42578125" style="11" customWidth="1"/>
    <col min="6" max="6" width="14.7109375" style="3" hidden="1" customWidth="1"/>
    <col min="7" max="7" width="14.7109375" style="4" hidden="1" customWidth="1"/>
    <col min="8" max="8" width="14.7109375" style="15" hidden="1" customWidth="1"/>
    <col min="9" max="9" width="14.7109375" style="16" hidden="1" customWidth="1"/>
    <col min="10" max="10" width="14.7109375" style="4" hidden="1" customWidth="1"/>
    <col min="11" max="11" width="12.42578125" style="4" customWidth="1"/>
    <col min="12" max="12" width="14.7109375" style="7" customWidth="1"/>
    <col min="13" max="13" width="9.140625" style="7"/>
  </cols>
  <sheetData>
    <row r="1" spans="1:13" x14ac:dyDescent="0.25">
      <c r="A1" s="6"/>
    </row>
    <row r="2" spans="1:13" x14ac:dyDescent="0.25">
      <c r="A2" s="6"/>
    </row>
    <row r="3" spans="1:13" x14ac:dyDescent="0.25">
      <c r="A3" s="6"/>
    </row>
    <row r="4" spans="1:13" ht="15" customHeight="1" x14ac:dyDescent="0.25">
      <c r="A4" s="6"/>
    </row>
    <row r="5" spans="1:13" x14ac:dyDescent="0.25">
      <c r="A5" s="94"/>
      <c r="B5" s="348" t="s">
        <v>96</v>
      </c>
      <c r="C5" s="93"/>
      <c r="D5" s="89"/>
      <c r="E5" s="90"/>
      <c r="F5" s="95"/>
      <c r="G5" s="90"/>
      <c r="H5" s="90"/>
      <c r="I5" s="89"/>
      <c r="J5" s="90"/>
      <c r="K5" s="96"/>
    </row>
    <row r="6" spans="1:13" ht="36" customHeight="1" x14ac:dyDescent="0.25">
      <c r="A6" s="220" t="s">
        <v>0</v>
      </c>
      <c r="B6" s="220" t="s">
        <v>32</v>
      </c>
      <c r="C6" s="221" t="s">
        <v>79</v>
      </c>
      <c r="D6" s="220" t="s">
        <v>34</v>
      </c>
      <c r="E6" s="220" t="s">
        <v>31</v>
      </c>
      <c r="F6" s="220" t="s">
        <v>1</v>
      </c>
      <c r="G6" s="222" t="s">
        <v>2</v>
      </c>
      <c r="H6" s="222" t="s">
        <v>3</v>
      </c>
      <c r="I6" s="222" t="s">
        <v>89</v>
      </c>
      <c r="J6" s="222" t="s">
        <v>59</v>
      </c>
      <c r="K6" s="222" t="s">
        <v>80</v>
      </c>
    </row>
    <row r="7" spans="1:13" s="7" customFormat="1" x14ac:dyDescent="0.25">
      <c r="A7" s="10" t="s">
        <v>40</v>
      </c>
      <c r="B7" s="5"/>
      <c r="C7" s="92"/>
      <c r="D7" s="5"/>
      <c r="E7" s="5"/>
      <c r="F7" s="5"/>
      <c r="G7" s="84"/>
      <c r="H7" s="84"/>
      <c r="I7" s="84"/>
      <c r="J7" s="91"/>
      <c r="K7" s="88"/>
    </row>
    <row r="8" spans="1:13" ht="15.75" x14ac:dyDescent="0.25">
      <c r="A8" s="134" t="s">
        <v>18</v>
      </c>
      <c r="B8" s="187" t="s">
        <v>16</v>
      </c>
      <c r="C8" s="135">
        <v>228</v>
      </c>
      <c r="D8" s="135">
        <f>ROUND(H8/12,2)</f>
        <v>182.4</v>
      </c>
      <c r="E8" s="136">
        <f>ROUND(G8/12,2)</f>
        <v>45.6</v>
      </c>
      <c r="F8" s="137">
        <f>ROUND(C8*12,2)</f>
        <v>2736</v>
      </c>
      <c r="G8" s="138">
        <f>ROUND(F8*0.2,2)</f>
        <v>547.20000000000005</v>
      </c>
      <c r="H8" s="139">
        <f>ROUND(F8-G8,2)</f>
        <v>2188.8000000000002</v>
      </c>
      <c r="I8" s="140">
        <f>G8/12</f>
        <v>45.6</v>
      </c>
      <c r="J8" s="337">
        <v>45.800000000000004</v>
      </c>
      <c r="K8" s="141">
        <f>I8-J8</f>
        <v>-0.20000000000000284</v>
      </c>
      <c r="M8" s="80"/>
    </row>
    <row r="9" spans="1:13" ht="15.75" x14ac:dyDescent="0.25">
      <c r="A9" s="142" t="s">
        <v>19</v>
      </c>
      <c r="B9" s="187" t="s">
        <v>16</v>
      </c>
      <c r="C9" s="143">
        <v>524.73</v>
      </c>
      <c r="D9" s="135">
        <f t="shared" ref="D9:D11" si="0">ROUND(H9/12,2)</f>
        <v>419.78</v>
      </c>
      <c r="E9" s="136">
        <f t="shared" ref="E9:E11" si="1">ROUND(G9/12,2)</f>
        <v>104.95</v>
      </c>
      <c r="F9" s="137">
        <f t="shared" ref="F9:F11" si="2">ROUND(C9*12,2)</f>
        <v>6296.76</v>
      </c>
      <c r="G9" s="138">
        <f t="shared" ref="G9:G11" si="3">ROUND(F9*0.2,2)</f>
        <v>1259.3499999999999</v>
      </c>
      <c r="H9" s="139">
        <f t="shared" ref="H9:H11" si="4">ROUND(F9-G9,2)</f>
        <v>5037.41</v>
      </c>
      <c r="I9" s="140">
        <f t="shared" ref="I9:I11" si="5">G9/12</f>
        <v>104.94583333333333</v>
      </c>
      <c r="J9" s="337">
        <v>110.45</v>
      </c>
      <c r="K9" s="144">
        <f>I9-J9</f>
        <v>-5.5041666666666771</v>
      </c>
      <c r="M9" s="80"/>
    </row>
    <row r="10" spans="1:13" ht="15.75" x14ac:dyDescent="0.25">
      <c r="A10" s="142" t="s">
        <v>21</v>
      </c>
      <c r="B10" s="187" t="s">
        <v>16</v>
      </c>
      <c r="C10" s="143">
        <v>715.44</v>
      </c>
      <c r="D10" s="135">
        <f t="shared" si="0"/>
        <v>572.35</v>
      </c>
      <c r="E10" s="136">
        <f t="shared" si="1"/>
        <v>143.09</v>
      </c>
      <c r="F10" s="137">
        <f t="shared" si="2"/>
        <v>8585.2800000000007</v>
      </c>
      <c r="G10" s="138">
        <f t="shared" si="3"/>
        <v>1717.06</v>
      </c>
      <c r="H10" s="139">
        <f t="shared" si="4"/>
        <v>6868.22</v>
      </c>
      <c r="I10" s="140">
        <f t="shared" si="5"/>
        <v>143.08833333333334</v>
      </c>
      <c r="J10" s="337">
        <v>132</v>
      </c>
      <c r="K10" s="144">
        <f t="shared" ref="K10:K26" si="6">I10-J10</f>
        <v>11.088333333333338</v>
      </c>
      <c r="M10" s="80"/>
    </row>
    <row r="11" spans="1:13" ht="15.75" x14ac:dyDescent="0.25">
      <c r="A11" s="142" t="s">
        <v>23</v>
      </c>
      <c r="B11" s="187" t="s">
        <v>16</v>
      </c>
      <c r="C11" s="143">
        <v>588</v>
      </c>
      <c r="D11" s="135">
        <f t="shared" si="0"/>
        <v>470.4</v>
      </c>
      <c r="E11" s="136">
        <f t="shared" si="1"/>
        <v>117.6</v>
      </c>
      <c r="F11" s="137">
        <f t="shared" si="2"/>
        <v>7056</v>
      </c>
      <c r="G11" s="138">
        <f t="shared" si="3"/>
        <v>1411.2</v>
      </c>
      <c r="H11" s="139">
        <f t="shared" si="4"/>
        <v>5644.8</v>
      </c>
      <c r="I11" s="140">
        <f t="shared" si="5"/>
        <v>117.60000000000001</v>
      </c>
      <c r="J11" s="337">
        <v>117.60000000000001</v>
      </c>
      <c r="K11" s="144">
        <f t="shared" si="6"/>
        <v>0</v>
      </c>
      <c r="M11" s="80"/>
    </row>
    <row r="12" spans="1:13" s="13" customFormat="1" ht="15" hidden="1" customHeight="1" x14ac:dyDescent="0.25">
      <c r="A12" s="164" t="s">
        <v>25</v>
      </c>
      <c r="B12" s="187" t="s">
        <v>16</v>
      </c>
      <c r="C12" s="143">
        <v>32.26</v>
      </c>
      <c r="D12" s="143">
        <f t="shared" ref="D12:D66" si="7">H12/12</f>
        <v>25.808000000000003</v>
      </c>
      <c r="E12" s="186">
        <f t="shared" ref="E12:E66" si="8">G12/12</f>
        <v>6.4520000000000008</v>
      </c>
      <c r="F12" s="165">
        <f t="shared" ref="F12:F26" si="9">C12*12</f>
        <v>387.12</v>
      </c>
      <c r="G12" s="166">
        <f t="shared" ref="G12:G13" si="10">F12*0.2</f>
        <v>77.424000000000007</v>
      </c>
      <c r="H12" s="167">
        <f t="shared" ref="H12:H14" si="11">F12-G12</f>
        <v>309.69600000000003</v>
      </c>
      <c r="I12" s="168">
        <f t="shared" ref="I12:I26" si="12">G12/12</f>
        <v>6.4520000000000008</v>
      </c>
      <c r="J12" s="337">
        <v>6.45</v>
      </c>
      <c r="K12" s="144">
        <f t="shared" si="6"/>
        <v>2.0000000000006679E-3</v>
      </c>
      <c r="M12" s="80"/>
    </row>
    <row r="13" spans="1:13" s="13" customFormat="1" ht="15" hidden="1" customHeight="1" x14ac:dyDescent="0.25">
      <c r="A13" s="164" t="s">
        <v>26</v>
      </c>
      <c r="B13" s="187" t="s">
        <v>16</v>
      </c>
      <c r="C13" s="143">
        <v>18.05</v>
      </c>
      <c r="D13" s="143">
        <f t="shared" si="7"/>
        <v>14.440000000000003</v>
      </c>
      <c r="E13" s="186">
        <f t="shared" si="8"/>
        <v>3.6100000000000008</v>
      </c>
      <c r="F13" s="165">
        <f t="shared" si="9"/>
        <v>216.60000000000002</v>
      </c>
      <c r="G13" s="166">
        <f t="shared" si="10"/>
        <v>43.320000000000007</v>
      </c>
      <c r="H13" s="167">
        <f t="shared" si="11"/>
        <v>173.28000000000003</v>
      </c>
      <c r="I13" s="168">
        <f t="shared" si="12"/>
        <v>3.6100000000000008</v>
      </c>
      <c r="J13" s="337">
        <v>3.61</v>
      </c>
      <c r="K13" s="144">
        <f t="shared" si="6"/>
        <v>0</v>
      </c>
      <c r="M13" s="80"/>
    </row>
    <row r="14" spans="1:13" s="13" customFormat="1" ht="15" hidden="1" customHeight="1" x14ac:dyDescent="0.25">
      <c r="A14" s="164" t="s">
        <v>27</v>
      </c>
      <c r="B14" s="187" t="s">
        <v>16</v>
      </c>
      <c r="C14" s="169">
        <v>3.16</v>
      </c>
      <c r="D14" s="143">
        <f t="shared" si="7"/>
        <v>2.528</v>
      </c>
      <c r="E14" s="186">
        <f t="shared" si="8"/>
        <v>0.63200000000000001</v>
      </c>
      <c r="F14" s="165">
        <f t="shared" si="9"/>
        <v>37.92</v>
      </c>
      <c r="G14" s="166">
        <f>F14*0.2</f>
        <v>7.5840000000000005</v>
      </c>
      <c r="H14" s="167">
        <f t="shared" si="11"/>
        <v>30.336000000000002</v>
      </c>
      <c r="I14" s="168">
        <f t="shared" si="12"/>
        <v>0.63200000000000001</v>
      </c>
      <c r="J14" s="337">
        <v>0.63</v>
      </c>
      <c r="K14" s="144">
        <f t="shared" si="6"/>
        <v>2.0000000000000018E-3</v>
      </c>
      <c r="M14" s="80"/>
    </row>
    <row r="15" spans="1:13" s="13" customFormat="1" ht="15" hidden="1" customHeight="1" x14ac:dyDescent="0.25">
      <c r="A15" s="164" t="s">
        <v>28</v>
      </c>
      <c r="B15" s="187" t="s">
        <v>50</v>
      </c>
      <c r="C15" s="169">
        <v>5.48</v>
      </c>
      <c r="D15" s="143">
        <f t="shared" si="7"/>
        <v>2.5283333333333333</v>
      </c>
      <c r="E15" s="186">
        <f t="shared" si="8"/>
        <v>2.9516666666666667</v>
      </c>
      <c r="F15" s="165">
        <f t="shared" si="9"/>
        <v>65.760000000000005</v>
      </c>
      <c r="G15" s="166">
        <f>F15-H15</f>
        <v>35.42</v>
      </c>
      <c r="H15" s="167">
        <v>30.34</v>
      </c>
      <c r="I15" s="168">
        <f t="shared" si="12"/>
        <v>2.9516666666666667</v>
      </c>
      <c r="J15" s="337">
        <v>2.95</v>
      </c>
      <c r="K15" s="144">
        <f t="shared" si="6"/>
        <v>1.6666666666664831E-3</v>
      </c>
      <c r="M15" s="80"/>
    </row>
    <row r="16" spans="1:13" s="13" customFormat="1" ht="15" hidden="1" customHeight="1" x14ac:dyDescent="0.25">
      <c r="A16" s="164" t="s">
        <v>29</v>
      </c>
      <c r="B16" s="187" t="s">
        <v>50</v>
      </c>
      <c r="C16" s="169">
        <v>9.5299999999999994</v>
      </c>
      <c r="D16" s="143">
        <f t="shared" si="7"/>
        <v>2.5283333333333333</v>
      </c>
      <c r="E16" s="186">
        <f t="shared" si="8"/>
        <v>7.0016666666666652</v>
      </c>
      <c r="F16" s="165">
        <f t="shared" si="9"/>
        <v>114.35999999999999</v>
      </c>
      <c r="G16" s="166">
        <f>F16-H16</f>
        <v>84.019999999999982</v>
      </c>
      <c r="H16" s="167">
        <v>30.34</v>
      </c>
      <c r="I16" s="168">
        <f t="shared" si="12"/>
        <v>7.0016666666666652</v>
      </c>
      <c r="J16" s="337">
        <v>7</v>
      </c>
      <c r="K16" s="144">
        <f t="shared" si="6"/>
        <v>1.6666666666651508E-3</v>
      </c>
      <c r="M16" s="80"/>
    </row>
    <row r="17" spans="1:13" ht="15.75" hidden="1" x14ac:dyDescent="0.25">
      <c r="A17" s="162" t="s">
        <v>25</v>
      </c>
      <c r="B17" s="187" t="s">
        <v>16</v>
      </c>
      <c r="C17" s="143">
        <v>32.26</v>
      </c>
      <c r="D17" s="143">
        <f t="shared" si="7"/>
        <v>25.808000000000003</v>
      </c>
      <c r="E17" s="186">
        <f t="shared" si="8"/>
        <v>6.4520000000000008</v>
      </c>
      <c r="F17" s="165">
        <f t="shared" si="9"/>
        <v>387.12</v>
      </c>
      <c r="G17" s="166">
        <f t="shared" ref="G17:G18" si="13">F17*0.2</f>
        <v>77.424000000000007</v>
      </c>
      <c r="H17" s="167">
        <f t="shared" ref="H17:H19" si="14">F17-G17</f>
        <v>309.69600000000003</v>
      </c>
      <c r="I17" s="168">
        <f t="shared" si="12"/>
        <v>6.4520000000000008</v>
      </c>
      <c r="J17" s="142">
        <v>8.15</v>
      </c>
      <c r="K17" s="144">
        <f t="shared" si="6"/>
        <v>-1.6979999999999995</v>
      </c>
      <c r="M17" s="80"/>
    </row>
    <row r="18" spans="1:13" ht="15.75" hidden="1" x14ac:dyDescent="0.25">
      <c r="A18" s="162" t="s">
        <v>26</v>
      </c>
      <c r="B18" s="187" t="s">
        <v>16</v>
      </c>
      <c r="C18" s="143">
        <v>18.05</v>
      </c>
      <c r="D18" s="143">
        <f t="shared" si="7"/>
        <v>14.440000000000003</v>
      </c>
      <c r="E18" s="186">
        <f t="shared" si="8"/>
        <v>3.6100000000000008</v>
      </c>
      <c r="F18" s="165">
        <f t="shared" si="9"/>
        <v>216.60000000000002</v>
      </c>
      <c r="G18" s="166">
        <f t="shared" si="13"/>
        <v>43.320000000000007</v>
      </c>
      <c r="H18" s="167">
        <f t="shared" si="14"/>
        <v>173.28000000000003</v>
      </c>
      <c r="I18" s="168">
        <f t="shared" si="12"/>
        <v>3.6100000000000008</v>
      </c>
      <c r="J18" s="142">
        <v>8.15</v>
      </c>
      <c r="K18" s="144">
        <f t="shared" si="6"/>
        <v>-4.5399999999999991</v>
      </c>
      <c r="M18" s="80"/>
    </row>
    <row r="19" spans="1:13" ht="15.75" hidden="1" x14ac:dyDescent="0.25">
      <c r="A19" s="162" t="s">
        <v>27</v>
      </c>
      <c r="B19" s="187" t="s">
        <v>16</v>
      </c>
      <c r="C19" s="169">
        <v>3.16</v>
      </c>
      <c r="D19" s="143">
        <f t="shared" si="7"/>
        <v>2.528</v>
      </c>
      <c r="E19" s="186">
        <f t="shared" si="8"/>
        <v>0.63200000000000001</v>
      </c>
      <c r="F19" s="165">
        <f t="shared" si="9"/>
        <v>37.92</v>
      </c>
      <c r="G19" s="166">
        <f>F19*0.2</f>
        <v>7.5840000000000005</v>
      </c>
      <c r="H19" s="167">
        <f t="shared" si="14"/>
        <v>30.336000000000002</v>
      </c>
      <c r="I19" s="168">
        <f t="shared" si="12"/>
        <v>0.63200000000000001</v>
      </c>
      <c r="J19" s="142">
        <v>0.78</v>
      </c>
      <c r="K19" s="144">
        <f t="shared" si="6"/>
        <v>-0.14800000000000002</v>
      </c>
      <c r="M19" s="80"/>
    </row>
    <row r="20" spans="1:13" ht="15.75" hidden="1" x14ac:dyDescent="0.25">
      <c r="A20" s="162" t="s">
        <v>28</v>
      </c>
      <c r="B20" s="187" t="s">
        <v>50</v>
      </c>
      <c r="C20" s="169">
        <v>5.48</v>
      </c>
      <c r="D20" s="143">
        <f t="shared" si="7"/>
        <v>2.5283333333333333</v>
      </c>
      <c r="E20" s="186">
        <f t="shared" si="8"/>
        <v>2.9516666666666667</v>
      </c>
      <c r="F20" s="165">
        <f t="shared" si="9"/>
        <v>65.760000000000005</v>
      </c>
      <c r="G20" s="166">
        <f>F20-H20</f>
        <v>35.42</v>
      </c>
      <c r="H20" s="167">
        <v>30.34</v>
      </c>
      <c r="I20" s="168">
        <f t="shared" si="12"/>
        <v>2.9516666666666667</v>
      </c>
      <c r="J20" s="142">
        <v>3.82</v>
      </c>
      <c r="K20" s="144">
        <f t="shared" si="6"/>
        <v>-0.86833333333333318</v>
      </c>
      <c r="M20" s="80"/>
    </row>
    <row r="21" spans="1:13" ht="15.75" hidden="1" x14ac:dyDescent="0.25">
      <c r="A21" s="162" t="s">
        <v>29</v>
      </c>
      <c r="B21" s="187" t="s">
        <v>50</v>
      </c>
      <c r="C21" s="169">
        <v>9.5299999999999994</v>
      </c>
      <c r="D21" s="143">
        <f t="shared" si="7"/>
        <v>2.5283333333333333</v>
      </c>
      <c r="E21" s="186">
        <f t="shared" si="8"/>
        <v>7.0016666666666652</v>
      </c>
      <c r="F21" s="165">
        <f t="shared" si="9"/>
        <v>114.35999999999999</v>
      </c>
      <c r="G21" s="166">
        <f>F21-H21</f>
        <v>84.019999999999982</v>
      </c>
      <c r="H21" s="167">
        <v>30.34</v>
      </c>
      <c r="I21" s="168">
        <f t="shared" si="12"/>
        <v>7.0016666666666652</v>
      </c>
      <c r="J21" s="142">
        <v>7.01</v>
      </c>
      <c r="K21" s="144">
        <f t="shared" si="6"/>
        <v>-8.333333333334636E-3</v>
      </c>
      <c r="M21" s="80"/>
    </row>
    <row r="22" spans="1:13" ht="15.75" x14ac:dyDescent="0.25">
      <c r="A22" s="162" t="s">
        <v>25</v>
      </c>
      <c r="B22" s="134" t="s">
        <v>16</v>
      </c>
      <c r="C22" s="143">
        <v>32.26</v>
      </c>
      <c r="D22" s="143">
        <f t="shared" si="7"/>
        <v>25.808000000000003</v>
      </c>
      <c r="E22" s="186">
        <f t="shared" si="8"/>
        <v>6.4520000000000008</v>
      </c>
      <c r="F22" s="165">
        <f t="shared" si="9"/>
        <v>387.12</v>
      </c>
      <c r="G22" s="166">
        <f t="shared" ref="G22:G23" si="15">F22*0.2</f>
        <v>77.424000000000007</v>
      </c>
      <c r="H22" s="167">
        <f t="shared" ref="H22:H24" si="16">F22-G22</f>
        <v>309.69600000000003</v>
      </c>
      <c r="I22" s="170">
        <f t="shared" si="12"/>
        <v>6.4520000000000008</v>
      </c>
      <c r="J22" s="338">
        <v>6.4520000000000008</v>
      </c>
      <c r="K22" s="171">
        <f t="shared" si="6"/>
        <v>0</v>
      </c>
      <c r="M22" s="80"/>
    </row>
    <row r="23" spans="1:13" ht="15.75" x14ac:dyDescent="0.25">
      <c r="A23" s="162" t="s">
        <v>26</v>
      </c>
      <c r="B23" s="134" t="s">
        <v>16</v>
      </c>
      <c r="C23" s="143">
        <v>18.05</v>
      </c>
      <c r="D23" s="143">
        <f t="shared" si="7"/>
        <v>14.440000000000003</v>
      </c>
      <c r="E23" s="186">
        <f t="shared" si="8"/>
        <v>3.6100000000000008</v>
      </c>
      <c r="F23" s="165">
        <f t="shared" si="9"/>
        <v>216.60000000000002</v>
      </c>
      <c r="G23" s="166">
        <f t="shared" si="15"/>
        <v>43.320000000000007</v>
      </c>
      <c r="H23" s="167">
        <f t="shared" si="16"/>
        <v>173.28000000000003</v>
      </c>
      <c r="I23" s="170">
        <f t="shared" si="12"/>
        <v>3.6100000000000008</v>
      </c>
      <c r="J23" s="338">
        <v>3.6100000000000008</v>
      </c>
      <c r="K23" s="171">
        <f t="shared" si="6"/>
        <v>0</v>
      </c>
      <c r="M23" s="80"/>
    </row>
    <row r="24" spans="1:13" ht="15.75" x14ac:dyDescent="0.25">
      <c r="A24" s="162" t="s">
        <v>27</v>
      </c>
      <c r="B24" s="134" t="s">
        <v>16</v>
      </c>
      <c r="C24" s="172">
        <v>3.16</v>
      </c>
      <c r="D24" s="143">
        <f t="shared" si="7"/>
        <v>2.528</v>
      </c>
      <c r="E24" s="186">
        <f t="shared" si="8"/>
        <v>0.63200000000000001</v>
      </c>
      <c r="F24" s="165">
        <f t="shared" si="9"/>
        <v>37.92</v>
      </c>
      <c r="G24" s="166">
        <f>F24*0.2</f>
        <v>7.5840000000000005</v>
      </c>
      <c r="H24" s="167">
        <f t="shared" si="16"/>
        <v>30.336000000000002</v>
      </c>
      <c r="I24" s="170">
        <f t="shared" si="12"/>
        <v>0.63200000000000001</v>
      </c>
      <c r="J24" s="338">
        <v>0.63200000000000001</v>
      </c>
      <c r="K24" s="171">
        <f t="shared" si="6"/>
        <v>0</v>
      </c>
      <c r="M24" s="80"/>
    </row>
    <row r="25" spans="1:13" ht="15.75" x14ac:dyDescent="0.25">
      <c r="A25" s="162" t="s">
        <v>28</v>
      </c>
      <c r="B25" s="134" t="s">
        <v>50</v>
      </c>
      <c r="C25" s="172">
        <v>5.48</v>
      </c>
      <c r="D25" s="143">
        <f t="shared" si="7"/>
        <v>2.5283333333333333</v>
      </c>
      <c r="E25" s="186">
        <f t="shared" si="8"/>
        <v>2.9516666666666667</v>
      </c>
      <c r="F25" s="165">
        <f t="shared" si="9"/>
        <v>65.760000000000005</v>
      </c>
      <c r="G25" s="166">
        <f>F25-H25</f>
        <v>35.42</v>
      </c>
      <c r="H25" s="167">
        <v>30.34</v>
      </c>
      <c r="I25" s="170">
        <f t="shared" si="12"/>
        <v>2.9516666666666667</v>
      </c>
      <c r="J25" s="338">
        <v>2.9516666666666667</v>
      </c>
      <c r="K25" s="171">
        <f t="shared" si="6"/>
        <v>0</v>
      </c>
      <c r="M25" s="80"/>
    </row>
    <row r="26" spans="1:13" ht="15.75" x14ac:dyDescent="0.25">
      <c r="A26" s="162" t="s">
        <v>29</v>
      </c>
      <c r="B26" s="134" t="s">
        <v>50</v>
      </c>
      <c r="C26" s="172">
        <v>9.5299999999999994</v>
      </c>
      <c r="D26" s="143">
        <f t="shared" si="7"/>
        <v>2.5283333333333333</v>
      </c>
      <c r="E26" s="186">
        <f t="shared" si="8"/>
        <v>7.0016666666666652</v>
      </c>
      <c r="F26" s="165">
        <f t="shared" si="9"/>
        <v>114.35999999999999</v>
      </c>
      <c r="G26" s="166">
        <f>F26-H26</f>
        <v>84.019999999999982</v>
      </c>
      <c r="H26" s="167">
        <v>30.34</v>
      </c>
      <c r="I26" s="170">
        <f t="shared" si="12"/>
        <v>7.0016666666666652</v>
      </c>
      <c r="J26" s="338">
        <v>7.0016666666666652</v>
      </c>
      <c r="K26" s="171">
        <f t="shared" si="6"/>
        <v>0</v>
      </c>
      <c r="M26" s="80"/>
    </row>
    <row r="27" spans="1:13" x14ac:dyDescent="0.25">
      <c r="A27" s="190" t="s">
        <v>41</v>
      </c>
      <c r="B27" s="191"/>
      <c r="C27" s="192"/>
      <c r="D27" s="193"/>
      <c r="E27" s="194"/>
      <c r="F27" s="195"/>
      <c r="G27" s="195"/>
      <c r="H27" s="195"/>
      <c r="I27" s="196"/>
      <c r="J27" s="197"/>
      <c r="K27" s="198"/>
    </row>
    <row r="28" spans="1:13" ht="15.75" x14ac:dyDescent="0.25">
      <c r="A28" s="134" t="s">
        <v>18</v>
      </c>
      <c r="B28" s="187" t="s">
        <v>16</v>
      </c>
      <c r="C28" s="135">
        <v>456</v>
      </c>
      <c r="D28" s="135">
        <f>ROUND(H28/12,2)</f>
        <v>364.8</v>
      </c>
      <c r="E28" s="136">
        <f>ROUND(G28/12,2)</f>
        <v>91.2</v>
      </c>
      <c r="F28" s="137">
        <f>ROUND(C28*12,2)</f>
        <v>5472</v>
      </c>
      <c r="G28" s="138">
        <f>ROUND(F28*0.2,2)</f>
        <v>1094.4000000000001</v>
      </c>
      <c r="H28" s="139">
        <f>ROUND(F28-G28,2)</f>
        <v>4377.6000000000004</v>
      </c>
      <c r="I28" s="140">
        <f t="shared" ref="I28:I31" si="17">G28/12</f>
        <v>91.2</v>
      </c>
      <c r="J28" s="337">
        <v>91.600000000000009</v>
      </c>
      <c r="K28" s="141">
        <f>I28-J28</f>
        <v>-0.40000000000000568</v>
      </c>
      <c r="M28" s="80"/>
    </row>
    <row r="29" spans="1:13" ht="15.75" x14ac:dyDescent="0.25">
      <c r="A29" s="142" t="s">
        <v>19</v>
      </c>
      <c r="B29" s="187" t="s">
        <v>16</v>
      </c>
      <c r="C29" s="143">
        <v>1049.46</v>
      </c>
      <c r="D29" s="135">
        <f t="shared" ref="D29:D31" si="18">ROUND(H29/12,2)</f>
        <v>839.57</v>
      </c>
      <c r="E29" s="136">
        <f t="shared" ref="E29:E31" si="19">ROUND(G29/12,2)</f>
        <v>209.89</v>
      </c>
      <c r="F29" s="137">
        <f t="shared" ref="F29:F31" si="20">ROUND(C29*12,2)</f>
        <v>12593.52</v>
      </c>
      <c r="G29" s="138">
        <f t="shared" ref="G29:G31" si="21">ROUND(F29*0.2,2)</f>
        <v>2518.6999999999998</v>
      </c>
      <c r="H29" s="139">
        <f t="shared" ref="H29:H31" si="22">ROUND(F29-G29,2)</f>
        <v>10074.82</v>
      </c>
      <c r="I29" s="140">
        <f t="shared" si="17"/>
        <v>209.89166666666665</v>
      </c>
      <c r="J29" s="337">
        <v>220.89833333333334</v>
      </c>
      <c r="K29" s="144">
        <f>I29-J29</f>
        <v>-11.006666666666689</v>
      </c>
      <c r="M29" s="80"/>
    </row>
    <row r="30" spans="1:13" ht="15.75" x14ac:dyDescent="0.25">
      <c r="A30" s="142" t="s">
        <v>21</v>
      </c>
      <c r="B30" s="187" t="s">
        <v>16</v>
      </c>
      <c r="C30" s="143">
        <v>1430.88</v>
      </c>
      <c r="D30" s="135">
        <f t="shared" si="18"/>
        <v>1144.7</v>
      </c>
      <c r="E30" s="136">
        <f t="shared" si="19"/>
        <v>286.18</v>
      </c>
      <c r="F30" s="137">
        <f t="shared" si="20"/>
        <v>17170.560000000001</v>
      </c>
      <c r="G30" s="138">
        <f t="shared" si="21"/>
        <v>3434.11</v>
      </c>
      <c r="H30" s="139">
        <f t="shared" si="22"/>
        <v>13736.45</v>
      </c>
      <c r="I30" s="140">
        <f t="shared" si="17"/>
        <v>286.17583333333334</v>
      </c>
      <c r="J30" s="337">
        <v>264</v>
      </c>
      <c r="K30" s="144">
        <f t="shared" ref="K30:K46" si="23">I30-J30</f>
        <v>22.175833333333344</v>
      </c>
      <c r="M30" s="80"/>
    </row>
    <row r="31" spans="1:13" ht="15.75" x14ac:dyDescent="0.25">
      <c r="A31" s="142" t="s">
        <v>23</v>
      </c>
      <c r="B31" s="187" t="s">
        <v>16</v>
      </c>
      <c r="C31" s="143">
        <v>1176</v>
      </c>
      <c r="D31" s="135">
        <f t="shared" si="18"/>
        <v>940.8</v>
      </c>
      <c r="E31" s="136">
        <f t="shared" si="19"/>
        <v>235.2</v>
      </c>
      <c r="F31" s="137">
        <f t="shared" si="20"/>
        <v>14112</v>
      </c>
      <c r="G31" s="138">
        <f t="shared" si="21"/>
        <v>2822.4</v>
      </c>
      <c r="H31" s="139">
        <f t="shared" si="22"/>
        <v>11289.6</v>
      </c>
      <c r="I31" s="140">
        <f t="shared" si="17"/>
        <v>235.20000000000002</v>
      </c>
      <c r="J31" s="337">
        <v>235.20000000000002</v>
      </c>
      <c r="K31" s="144">
        <f t="shared" si="23"/>
        <v>0</v>
      </c>
      <c r="M31" s="80"/>
    </row>
    <row r="32" spans="1:13" s="13" customFormat="1" ht="15" hidden="1" customHeight="1" x14ac:dyDescent="0.25">
      <c r="A32" s="164" t="s">
        <v>25</v>
      </c>
      <c r="B32" s="187" t="s">
        <v>16</v>
      </c>
      <c r="C32" s="143">
        <v>64.67</v>
      </c>
      <c r="D32" s="143">
        <f t="shared" si="7"/>
        <v>51.735999999999997</v>
      </c>
      <c r="E32" s="186">
        <f t="shared" si="8"/>
        <v>12.933999999999999</v>
      </c>
      <c r="F32" s="165">
        <f t="shared" ref="F32:F46" si="24">C32*12</f>
        <v>776.04</v>
      </c>
      <c r="G32" s="166">
        <f t="shared" ref="G32:G33" si="25">F32*0.2</f>
        <v>155.208</v>
      </c>
      <c r="H32" s="167">
        <f t="shared" ref="H32:H34" si="26">F32-G32</f>
        <v>620.83199999999999</v>
      </c>
      <c r="I32" s="168">
        <f t="shared" ref="I32:I46" si="27">G32/12</f>
        <v>12.933999999999999</v>
      </c>
      <c r="J32" s="337">
        <v>12.93</v>
      </c>
      <c r="K32" s="144">
        <f t="shared" si="23"/>
        <v>3.9999999999995595E-3</v>
      </c>
      <c r="M32" s="80"/>
    </row>
    <row r="33" spans="1:13" s="13" customFormat="1" ht="15" hidden="1" customHeight="1" x14ac:dyDescent="0.25">
      <c r="A33" s="164" t="s">
        <v>26</v>
      </c>
      <c r="B33" s="187" t="s">
        <v>16</v>
      </c>
      <c r="C33" s="143">
        <v>35.1</v>
      </c>
      <c r="D33" s="143">
        <f t="shared" si="7"/>
        <v>28.080000000000002</v>
      </c>
      <c r="E33" s="186">
        <f t="shared" si="8"/>
        <v>7.0200000000000005</v>
      </c>
      <c r="F33" s="165">
        <f t="shared" si="24"/>
        <v>421.20000000000005</v>
      </c>
      <c r="G33" s="166">
        <f t="shared" si="25"/>
        <v>84.240000000000009</v>
      </c>
      <c r="H33" s="167">
        <f t="shared" si="26"/>
        <v>336.96000000000004</v>
      </c>
      <c r="I33" s="168">
        <f t="shared" si="27"/>
        <v>7.0200000000000005</v>
      </c>
      <c r="J33" s="337">
        <v>7.02</v>
      </c>
      <c r="K33" s="144">
        <f t="shared" si="23"/>
        <v>0</v>
      </c>
      <c r="M33" s="80"/>
    </row>
    <row r="34" spans="1:13" s="13" customFormat="1" ht="15" hidden="1" customHeight="1" x14ac:dyDescent="0.25">
      <c r="A34" s="164" t="s">
        <v>27</v>
      </c>
      <c r="B34" s="187" t="s">
        <v>16</v>
      </c>
      <c r="C34" s="143">
        <v>6.36</v>
      </c>
      <c r="D34" s="143">
        <f t="shared" si="7"/>
        <v>5.0880000000000001</v>
      </c>
      <c r="E34" s="186">
        <f t="shared" si="8"/>
        <v>1.2720000000000002</v>
      </c>
      <c r="F34" s="165">
        <f t="shared" si="24"/>
        <v>76.320000000000007</v>
      </c>
      <c r="G34" s="166">
        <f>F34*0.2</f>
        <v>15.264000000000003</v>
      </c>
      <c r="H34" s="167">
        <f t="shared" si="26"/>
        <v>61.056000000000004</v>
      </c>
      <c r="I34" s="168">
        <f t="shared" si="27"/>
        <v>1.2720000000000002</v>
      </c>
      <c r="J34" s="337">
        <v>1.27</v>
      </c>
      <c r="K34" s="144">
        <f t="shared" si="23"/>
        <v>2.0000000000002238E-3</v>
      </c>
      <c r="M34" s="80"/>
    </row>
    <row r="35" spans="1:13" s="13" customFormat="1" ht="15" hidden="1" customHeight="1" x14ac:dyDescent="0.25">
      <c r="A35" s="164" t="s">
        <v>28</v>
      </c>
      <c r="B35" s="187" t="s">
        <v>50</v>
      </c>
      <c r="C35" s="143">
        <v>10.98</v>
      </c>
      <c r="D35" s="143">
        <f t="shared" si="7"/>
        <v>5.0883333333333338</v>
      </c>
      <c r="E35" s="186">
        <f t="shared" si="8"/>
        <v>5.8916666666666657</v>
      </c>
      <c r="F35" s="165">
        <f t="shared" si="24"/>
        <v>131.76</v>
      </c>
      <c r="G35" s="166">
        <f>F35-H35</f>
        <v>70.699999999999989</v>
      </c>
      <c r="H35" s="167">
        <v>61.06</v>
      </c>
      <c r="I35" s="168">
        <f t="shared" si="27"/>
        <v>5.8916666666666657</v>
      </c>
      <c r="J35" s="337">
        <v>5.89</v>
      </c>
      <c r="K35" s="144">
        <f t="shared" si="23"/>
        <v>1.666666666666039E-3</v>
      </c>
      <c r="M35" s="80"/>
    </row>
    <row r="36" spans="1:13" s="13" customFormat="1" ht="15" hidden="1" customHeight="1" x14ac:dyDescent="0.25">
      <c r="A36" s="164" t="s">
        <v>29</v>
      </c>
      <c r="B36" s="187" t="s">
        <v>50</v>
      </c>
      <c r="C36" s="143">
        <v>19.07</v>
      </c>
      <c r="D36" s="143">
        <f t="shared" si="7"/>
        <v>5.0883333333333338</v>
      </c>
      <c r="E36" s="186">
        <f t="shared" si="8"/>
        <v>13.981666666666667</v>
      </c>
      <c r="F36" s="165">
        <f t="shared" si="24"/>
        <v>228.84</v>
      </c>
      <c r="G36" s="166">
        <f>F36-H36</f>
        <v>167.78</v>
      </c>
      <c r="H36" s="167">
        <v>61.06</v>
      </c>
      <c r="I36" s="168">
        <f t="shared" si="27"/>
        <v>13.981666666666667</v>
      </c>
      <c r="J36" s="337">
        <v>13.98</v>
      </c>
      <c r="K36" s="144">
        <f t="shared" si="23"/>
        <v>1.6666666666669272E-3</v>
      </c>
      <c r="M36" s="80"/>
    </row>
    <row r="37" spans="1:13" ht="15.75" hidden="1" x14ac:dyDescent="0.25">
      <c r="A37" s="162" t="s">
        <v>25</v>
      </c>
      <c r="B37" s="187" t="s">
        <v>16</v>
      </c>
      <c r="C37" s="143">
        <v>64.67</v>
      </c>
      <c r="D37" s="143">
        <f t="shared" si="7"/>
        <v>51.735999999999997</v>
      </c>
      <c r="E37" s="186">
        <f t="shared" si="8"/>
        <v>12.933999999999999</v>
      </c>
      <c r="F37" s="165">
        <f t="shared" si="24"/>
        <v>776.04</v>
      </c>
      <c r="G37" s="166">
        <f t="shared" ref="G37:G38" si="28">F37*0.2</f>
        <v>155.208</v>
      </c>
      <c r="H37" s="167">
        <f t="shared" ref="H37:H39" si="29">F37-G37</f>
        <v>620.83199999999999</v>
      </c>
      <c r="I37" s="168">
        <f t="shared" si="27"/>
        <v>12.933999999999999</v>
      </c>
      <c r="J37" s="142">
        <v>16.3</v>
      </c>
      <c r="K37" s="144">
        <f t="shared" si="23"/>
        <v>-3.3660000000000014</v>
      </c>
      <c r="M37" s="80"/>
    </row>
    <row r="38" spans="1:13" ht="15.75" hidden="1" x14ac:dyDescent="0.25">
      <c r="A38" s="162" t="s">
        <v>26</v>
      </c>
      <c r="B38" s="187" t="s">
        <v>16</v>
      </c>
      <c r="C38" s="143">
        <v>35.1</v>
      </c>
      <c r="D38" s="143">
        <f t="shared" si="7"/>
        <v>28.080000000000002</v>
      </c>
      <c r="E38" s="186">
        <f t="shared" si="8"/>
        <v>7.0200000000000005</v>
      </c>
      <c r="F38" s="165">
        <f t="shared" si="24"/>
        <v>421.20000000000005</v>
      </c>
      <c r="G38" s="166">
        <f t="shared" si="28"/>
        <v>84.240000000000009</v>
      </c>
      <c r="H38" s="167">
        <f t="shared" si="29"/>
        <v>336.96000000000004</v>
      </c>
      <c r="I38" s="168">
        <f t="shared" si="27"/>
        <v>7.0200000000000005</v>
      </c>
      <c r="J38" s="142">
        <v>16.3</v>
      </c>
      <c r="K38" s="144">
        <f t="shared" si="23"/>
        <v>-9.2800000000000011</v>
      </c>
      <c r="M38" s="80"/>
    </row>
    <row r="39" spans="1:13" ht="15.75" hidden="1" x14ac:dyDescent="0.25">
      <c r="A39" s="162" t="s">
        <v>27</v>
      </c>
      <c r="B39" s="187" t="s">
        <v>16</v>
      </c>
      <c r="C39" s="143">
        <v>6.36</v>
      </c>
      <c r="D39" s="143">
        <f t="shared" si="7"/>
        <v>5.0880000000000001</v>
      </c>
      <c r="E39" s="186">
        <f t="shared" si="8"/>
        <v>1.2720000000000002</v>
      </c>
      <c r="F39" s="165">
        <f t="shared" si="24"/>
        <v>76.320000000000007</v>
      </c>
      <c r="G39" s="166">
        <f>F39*0.2</f>
        <v>15.264000000000003</v>
      </c>
      <c r="H39" s="167">
        <f t="shared" si="29"/>
        <v>61.056000000000004</v>
      </c>
      <c r="I39" s="168">
        <f t="shared" si="27"/>
        <v>1.2720000000000002</v>
      </c>
      <c r="J39" s="142">
        <v>1.56</v>
      </c>
      <c r="K39" s="144">
        <f t="shared" si="23"/>
        <v>-0.28799999999999981</v>
      </c>
      <c r="M39" s="80"/>
    </row>
    <row r="40" spans="1:13" ht="15.75" hidden="1" x14ac:dyDescent="0.25">
      <c r="A40" s="162" t="s">
        <v>28</v>
      </c>
      <c r="B40" s="187" t="s">
        <v>50</v>
      </c>
      <c r="C40" s="143">
        <v>10.98</v>
      </c>
      <c r="D40" s="143">
        <f t="shared" si="7"/>
        <v>5.0883333333333338</v>
      </c>
      <c r="E40" s="186">
        <f t="shared" si="8"/>
        <v>5.8916666666666657</v>
      </c>
      <c r="F40" s="165">
        <f t="shared" si="24"/>
        <v>131.76</v>
      </c>
      <c r="G40" s="166">
        <f>F40-H40</f>
        <v>70.699999999999989</v>
      </c>
      <c r="H40" s="167">
        <v>61.06</v>
      </c>
      <c r="I40" s="168">
        <f t="shared" si="27"/>
        <v>5.8916666666666657</v>
      </c>
      <c r="J40" s="142">
        <v>7.62</v>
      </c>
      <c r="K40" s="144">
        <f t="shared" si="23"/>
        <v>-1.7283333333333344</v>
      </c>
      <c r="M40" s="80"/>
    </row>
    <row r="41" spans="1:13" ht="15.75" hidden="1" x14ac:dyDescent="0.25">
      <c r="A41" s="162" t="s">
        <v>29</v>
      </c>
      <c r="B41" s="187" t="s">
        <v>50</v>
      </c>
      <c r="C41" s="143">
        <v>19.07</v>
      </c>
      <c r="D41" s="143">
        <f t="shared" si="7"/>
        <v>5.0883333333333338</v>
      </c>
      <c r="E41" s="186">
        <f t="shared" si="8"/>
        <v>13.981666666666667</v>
      </c>
      <c r="F41" s="165">
        <f t="shared" si="24"/>
        <v>228.84</v>
      </c>
      <c r="G41" s="166">
        <f>F41-H41</f>
        <v>167.78</v>
      </c>
      <c r="H41" s="167">
        <v>61.06</v>
      </c>
      <c r="I41" s="168">
        <f t="shared" si="27"/>
        <v>13.981666666666667</v>
      </c>
      <c r="J41" s="142">
        <v>14</v>
      </c>
      <c r="K41" s="144">
        <f t="shared" si="23"/>
        <v>-1.8333333333332646E-2</v>
      </c>
      <c r="M41" s="80"/>
    </row>
    <row r="42" spans="1:13" ht="15.75" x14ac:dyDescent="0.25">
      <c r="A42" s="162" t="s">
        <v>25</v>
      </c>
      <c r="B42" s="134" t="s">
        <v>16</v>
      </c>
      <c r="C42" s="143">
        <v>64.67</v>
      </c>
      <c r="D42" s="143">
        <f t="shared" si="7"/>
        <v>51.735999999999997</v>
      </c>
      <c r="E42" s="186">
        <f t="shared" si="8"/>
        <v>12.933999999999999</v>
      </c>
      <c r="F42" s="165">
        <f t="shared" si="24"/>
        <v>776.04</v>
      </c>
      <c r="G42" s="166">
        <f t="shared" ref="G42:G43" si="30">F42*0.2</f>
        <v>155.208</v>
      </c>
      <c r="H42" s="167">
        <f t="shared" ref="H42:H44" si="31">F42-G42</f>
        <v>620.83199999999999</v>
      </c>
      <c r="I42" s="170">
        <f t="shared" si="27"/>
        <v>12.933999999999999</v>
      </c>
      <c r="J42" s="338">
        <v>12.933999999999999</v>
      </c>
      <c r="K42" s="171">
        <f t="shared" si="23"/>
        <v>0</v>
      </c>
      <c r="M42" s="80"/>
    </row>
    <row r="43" spans="1:13" ht="15.75" x14ac:dyDescent="0.25">
      <c r="A43" s="162" t="s">
        <v>26</v>
      </c>
      <c r="B43" s="134" t="s">
        <v>16</v>
      </c>
      <c r="C43" s="143">
        <v>35.1</v>
      </c>
      <c r="D43" s="143">
        <f t="shared" si="7"/>
        <v>28.080000000000002</v>
      </c>
      <c r="E43" s="186">
        <f t="shared" si="8"/>
        <v>7.0200000000000005</v>
      </c>
      <c r="F43" s="165">
        <f t="shared" si="24"/>
        <v>421.20000000000005</v>
      </c>
      <c r="G43" s="166">
        <f t="shared" si="30"/>
        <v>84.240000000000009</v>
      </c>
      <c r="H43" s="167">
        <f t="shared" si="31"/>
        <v>336.96000000000004</v>
      </c>
      <c r="I43" s="170">
        <f t="shared" si="27"/>
        <v>7.0200000000000005</v>
      </c>
      <c r="J43" s="338">
        <v>7.0200000000000005</v>
      </c>
      <c r="K43" s="171">
        <f t="shared" si="23"/>
        <v>0</v>
      </c>
      <c r="M43" s="80"/>
    </row>
    <row r="44" spans="1:13" ht="15.75" x14ac:dyDescent="0.25">
      <c r="A44" s="162" t="s">
        <v>27</v>
      </c>
      <c r="B44" s="134" t="s">
        <v>16</v>
      </c>
      <c r="C44" s="143">
        <v>6.36</v>
      </c>
      <c r="D44" s="143">
        <f t="shared" si="7"/>
        <v>5.0880000000000001</v>
      </c>
      <c r="E44" s="186">
        <f t="shared" si="8"/>
        <v>1.2720000000000002</v>
      </c>
      <c r="F44" s="165">
        <f t="shared" si="24"/>
        <v>76.320000000000007</v>
      </c>
      <c r="G44" s="166">
        <f>F44*0.2</f>
        <v>15.264000000000003</v>
      </c>
      <c r="H44" s="167">
        <f t="shared" si="31"/>
        <v>61.056000000000004</v>
      </c>
      <c r="I44" s="170">
        <f t="shared" si="27"/>
        <v>1.2720000000000002</v>
      </c>
      <c r="J44" s="338">
        <v>1.2720000000000002</v>
      </c>
      <c r="K44" s="171">
        <f t="shared" si="23"/>
        <v>0</v>
      </c>
      <c r="M44" s="80"/>
    </row>
    <row r="45" spans="1:13" ht="15.75" x14ac:dyDescent="0.25">
      <c r="A45" s="162" t="s">
        <v>28</v>
      </c>
      <c r="B45" s="134" t="s">
        <v>50</v>
      </c>
      <c r="C45" s="143">
        <v>10.98</v>
      </c>
      <c r="D45" s="143">
        <f t="shared" si="7"/>
        <v>5.0883333333333338</v>
      </c>
      <c r="E45" s="186">
        <f t="shared" si="8"/>
        <v>5.8916666666666657</v>
      </c>
      <c r="F45" s="165">
        <f t="shared" si="24"/>
        <v>131.76</v>
      </c>
      <c r="G45" s="166">
        <f>F45-H45</f>
        <v>70.699999999999989</v>
      </c>
      <c r="H45" s="167">
        <v>61.06</v>
      </c>
      <c r="I45" s="170">
        <f t="shared" si="27"/>
        <v>5.8916666666666657</v>
      </c>
      <c r="J45" s="338">
        <v>5.8916666666666657</v>
      </c>
      <c r="K45" s="171">
        <f t="shared" si="23"/>
        <v>0</v>
      </c>
      <c r="M45" s="80"/>
    </row>
    <row r="46" spans="1:13" ht="15.75" x14ac:dyDescent="0.25">
      <c r="A46" s="162" t="s">
        <v>29</v>
      </c>
      <c r="B46" s="134" t="s">
        <v>50</v>
      </c>
      <c r="C46" s="143">
        <v>19.07</v>
      </c>
      <c r="D46" s="143">
        <f t="shared" si="7"/>
        <v>5.0883333333333338</v>
      </c>
      <c r="E46" s="186">
        <f t="shared" si="8"/>
        <v>13.981666666666667</v>
      </c>
      <c r="F46" s="165">
        <f t="shared" si="24"/>
        <v>228.84</v>
      </c>
      <c r="G46" s="166">
        <f>F46-H46</f>
        <v>167.78</v>
      </c>
      <c r="H46" s="167">
        <v>61.06</v>
      </c>
      <c r="I46" s="170">
        <f t="shared" si="27"/>
        <v>13.981666666666667</v>
      </c>
      <c r="J46" s="338">
        <v>13.981666666666667</v>
      </c>
      <c r="K46" s="171">
        <f t="shared" si="23"/>
        <v>0</v>
      </c>
      <c r="M46" s="80"/>
    </row>
    <row r="47" spans="1:13" x14ac:dyDescent="0.25">
      <c r="A47" s="190" t="s">
        <v>42</v>
      </c>
      <c r="B47" s="191"/>
      <c r="C47" s="192"/>
      <c r="D47" s="193"/>
      <c r="E47" s="194"/>
      <c r="F47" s="195"/>
      <c r="G47" s="195"/>
      <c r="H47" s="195"/>
      <c r="I47" s="196"/>
      <c r="J47" s="197"/>
      <c r="K47" s="198"/>
    </row>
    <row r="48" spans="1:13" ht="15.75" x14ac:dyDescent="0.25">
      <c r="A48" s="134" t="s">
        <v>18</v>
      </c>
      <c r="B48" s="187" t="s">
        <v>16</v>
      </c>
      <c r="C48" s="135">
        <v>684</v>
      </c>
      <c r="D48" s="135">
        <f>ROUND(H48/12,2)</f>
        <v>547.20000000000005</v>
      </c>
      <c r="E48" s="136">
        <f>ROUND(G48/12,2)</f>
        <v>136.80000000000001</v>
      </c>
      <c r="F48" s="137">
        <f>ROUND(C48*12,2)</f>
        <v>8208</v>
      </c>
      <c r="G48" s="138">
        <f>ROUND(F48*0.2,2)</f>
        <v>1641.6</v>
      </c>
      <c r="H48" s="139">
        <f>ROUND(F48-G48,2)</f>
        <v>6566.4</v>
      </c>
      <c r="I48" s="140">
        <f t="shared" ref="I48:I51" si="32">G48/12</f>
        <v>136.79999999999998</v>
      </c>
      <c r="J48" s="337">
        <v>137.4</v>
      </c>
      <c r="K48" s="141">
        <f>I48-J48</f>
        <v>-0.60000000000002274</v>
      </c>
      <c r="M48" s="80"/>
    </row>
    <row r="49" spans="1:13" ht="15.75" x14ac:dyDescent="0.25">
      <c r="A49" s="142" t="s">
        <v>19</v>
      </c>
      <c r="B49" s="187" t="s">
        <v>16</v>
      </c>
      <c r="C49" s="143">
        <v>1574.18</v>
      </c>
      <c r="D49" s="135">
        <f t="shared" ref="D49:D51" si="33">ROUND(H49/12,2)</f>
        <v>1259.3399999999999</v>
      </c>
      <c r="E49" s="136">
        <f t="shared" ref="E49:E51" si="34">ROUND(G49/12,2)</f>
        <v>314.83999999999997</v>
      </c>
      <c r="F49" s="137">
        <f t="shared" ref="F49:F51" si="35">ROUND(C49*12,2)</f>
        <v>18890.16</v>
      </c>
      <c r="G49" s="138">
        <f t="shared" ref="G49:G51" si="36">ROUND(F49*0.2,2)</f>
        <v>3778.03</v>
      </c>
      <c r="H49" s="139">
        <f t="shared" ref="H49:H51" si="37">ROUND(F49-G49,2)</f>
        <v>15112.13</v>
      </c>
      <c r="I49" s="140">
        <f t="shared" si="32"/>
        <v>314.83583333333337</v>
      </c>
      <c r="J49" s="337">
        <v>331.3483333333333</v>
      </c>
      <c r="K49" s="144">
        <f>I49-J49</f>
        <v>-16.512499999999932</v>
      </c>
      <c r="M49" s="80"/>
    </row>
    <row r="50" spans="1:13" ht="15.75" x14ac:dyDescent="0.25">
      <c r="A50" s="142" t="s">
        <v>21</v>
      </c>
      <c r="B50" s="187" t="s">
        <v>16</v>
      </c>
      <c r="C50" s="143">
        <v>2146.3200000000002</v>
      </c>
      <c r="D50" s="135">
        <f t="shared" si="33"/>
        <v>1717.06</v>
      </c>
      <c r="E50" s="136">
        <f t="shared" si="34"/>
        <v>429.26</v>
      </c>
      <c r="F50" s="137">
        <f t="shared" si="35"/>
        <v>25755.84</v>
      </c>
      <c r="G50" s="138">
        <f t="shared" si="36"/>
        <v>5151.17</v>
      </c>
      <c r="H50" s="139">
        <f t="shared" si="37"/>
        <v>20604.669999999998</v>
      </c>
      <c r="I50" s="140">
        <f t="shared" si="32"/>
        <v>429.26416666666665</v>
      </c>
      <c r="J50" s="337">
        <v>396</v>
      </c>
      <c r="K50" s="144">
        <f t="shared" ref="K50:K66" si="38">I50-J50</f>
        <v>33.264166666666654</v>
      </c>
      <c r="M50" s="80"/>
    </row>
    <row r="51" spans="1:13" ht="15.75" x14ac:dyDescent="0.25">
      <c r="A51" s="142" t="s">
        <v>23</v>
      </c>
      <c r="B51" s="187" t="s">
        <v>16</v>
      </c>
      <c r="C51" s="143">
        <v>1764</v>
      </c>
      <c r="D51" s="135">
        <f t="shared" si="33"/>
        <v>1411.2</v>
      </c>
      <c r="E51" s="136">
        <f t="shared" si="34"/>
        <v>352.8</v>
      </c>
      <c r="F51" s="137">
        <f t="shared" si="35"/>
        <v>21168</v>
      </c>
      <c r="G51" s="138">
        <f t="shared" si="36"/>
        <v>4233.6000000000004</v>
      </c>
      <c r="H51" s="139">
        <f t="shared" si="37"/>
        <v>16934.400000000001</v>
      </c>
      <c r="I51" s="140">
        <f t="shared" si="32"/>
        <v>352.8</v>
      </c>
      <c r="J51" s="337">
        <v>352.8</v>
      </c>
      <c r="K51" s="144">
        <f t="shared" si="38"/>
        <v>0</v>
      </c>
      <c r="M51" s="80"/>
    </row>
    <row r="52" spans="1:13" s="13" customFormat="1" ht="15" hidden="1" customHeight="1" x14ac:dyDescent="0.25">
      <c r="A52" s="164" t="s">
        <v>25</v>
      </c>
      <c r="B52" s="187" t="s">
        <v>16</v>
      </c>
      <c r="C52" s="143">
        <v>119.59</v>
      </c>
      <c r="D52" s="143">
        <f t="shared" si="7"/>
        <v>95.671999999999983</v>
      </c>
      <c r="E52" s="186">
        <f t="shared" si="8"/>
        <v>23.918000000000003</v>
      </c>
      <c r="F52" s="165">
        <f t="shared" ref="F52:F66" si="39">C52*12</f>
        <v>1435.08</v>
      </c>
      <c r="G52" s="166">
        <f t="shared" ref="G52:G53" si="40">F52*0.2</f>
        <v>287.01600000000002</v>
      </c>
      <c r="H52" s="167">
        <f t="shared" ref="H52:H54" si="41">F52-G52</f>
        <v>1148.0639999999999</v>
      </c>
      <c r="I52" s="168">
        <f t="shared" ref="I52:I66" si="42">G52/12</f>
        <v>23.918000000000003</v>
      </c>
      <c r="J52" s="337">
        <v>23.92</v>
      </c>
      <c r="K52" s="144">
        <f t="shared" si="38"/>
        <v>-1.9999999999988916E-3</v>
      </c>
      <c r="M52" s="80"/>
    </row>
    <row r="53" spans="1:13" s="13" customFormat="1" ht="15" hidden="1" customHeight="1" x14ac:dyDescent="0.25">
      <c r="A53" s="164" t="s">
        <v>26</v>
      </c>
      <c r="B53" s="187" t="s">
        <v>16</v>
      </c>
      <c r="C53" s="143">
        <v>50.85</v>
      </c>
      <c r="D53" s="143">
        <f t="shared" si="7"/>
        <v>40.68</v>
      </c>
      <c r="E53" s="186">
        <f t="shared" si="8"/>
        <v>10.170000000000002</v>
      </c>
      <c r="F53" s="165">
        <f t="shared" si="39"/>
        <v>610.20000000000005</v>
      </c>
      <c r="G53" s="166">
        <f t="shared" si="40"/>
        <v>122.04000000000002</v>
      </c>
      <c r="H53" s="167">
        <f t="shared" si="41"/>
        <v>488.16</v>
      </c>
      <c r="I53" s="168">
        <f t="shared" si="42"/>
        <v>10.170000000000002</v>
      </c>
      <c r="J53" s="337">
        <v>10.17</v>
      </c>
      <c r="K53" s="144">
        <f t="shared" si="38"/>
        <v>0</v>
      </c>
      <c r="M53" s="80"/>
    </row>
    <row r="54" spans="1:13" s="13" customFormat="1" ht="15" hidden="1" customHeight="1" x14ac:dyDescent="0.25">
      <c r="A54" s="164" t="s">
        <v>27</v>
      </c>
      <c r="B54" s="187" t="s">
        <v>16</v>
      </c>
      <c r="C54" s="143">
        <v>9.52</v>
      </c>
      <c r="D54" s="143">
        <f t="shared" si="7"/>
        <v>7.6159999999999997</v>
      </c>
      <c r="E54" s="186">
        <f t="shared" si="8"/>
        <v>1.9039999999999999</v>
      </c>
      <c r="F54" s="165">
        <f t="shared" si="39"/>
        <v>114.24</v>
      </c>
      <c r="G54" s="166">
        <f>F54*0.2</f>
        <v>22.847999999999999</v>
      </c>
      <c r="H54" s="167">
        <f t="shared" si="41"/>
        <v>91.391999999999996</v>
      </c>
      <c r="I54" s="168">
        <f t="shared" si="42"/>
        <v>1.9039999999999999</v>
      </c>
      <c r="J54" s="337">
        <v>1.9</v>
      </c>
      <c r="K54" s="144">
        <f t="shared" si="38"/>
        <v>4.0000000000000036E-3</v>
      </c>
      <c r="M54" s="80"/>
    </row>
    <row r="55" spans="1:13" s="13" customFormat="1" ht="15" hidden="1" customHeight="1" x14ac:dyDescent="0.25">
      <c r="A55" s="164" t="s">
        <v>28</v>
      </c>
      <c r="B55" s="187" t="s">
        <v>50</v>
      </c>
      <c r="C55" s="143">
        <v>16.47</v>
      </c>
      <c r="D55" s="143">
        <f t="shared" si="7"/>
        <v>7.6158333333333337</v>
      </c>
      <c r="E55" s="186">
        <f t="shared" si="8"/>
        <v>8.8541666666666661</v>
      </c>
      <c r="F55" s="165">
        <f t="shared" si="39"/>
        <v>197.64</v>
      </c>
      <c r="G55" s="166">
        <f>F55-H55</f>
        <v>106.24999999999999</v>
      </c>
      <c r="H55" s="167">
        <v>91.39</v>
      </c>
      <c r="I55" s="168">
        <f t="shared" si="42"/>
        <v>8.8541666666666661</v>
      </c>
      <c r="J55" s="337">
        <v>8.85</v>
      </c>
      <c r="K55" s="144">
        <f t="shared" si="38"/>
        <v>4.1666666666664298E-3</v>
      </c>
      <c r="M55" s="80"/>
    </row>
    <row r="56" spans="1:13" s="13" customFormat="1" ht="15" hidden="1" customHeight="1" x14ac:dyDescent="0.25">
      <c r="A56" s="164" t="s">
        <v>29</v>
      </c>
      <c r="B56" s="187" t="s">
        <v>50</v>
      </c>
      <c r="C56" s="143">
        <v>28.61</v>
      </c>
      <c r="D56" s="143">
        <f t="shared" si="7"/>
        <v>7.6158333333333337</v>
      </c>
      <c r="E56" s="186">
        <f t="shared" si="8"/>
        <v>20.994166666666668</v>
      </c>
      <c r="F56" s="165">
        <f t="shared" si="39"/>
        <v>343.32</v>
      </c>
      <c r="G56" s="166">
        <f>F56-H56</f>
        <v>251.93</v>
      </c>
      <c r="H56" s="167">
        <v>91.39</v>
      </c>
      <c r="I56" s="168">
        <f t="shared" si="42"/>
        <v>20.994166666666668</v>
      </c>
      <c r="J56" s="337">
        <v>20.99</v>
      </c>
      <c r="K56" s="144">
        <f t="shared" si="38"/>
        <v>4.1666666666699825E-3</v>
      </c>
      <c r="M56" s="80"/>
    </row>
    <row r="57" spans="1:13" ht="15.75" hidden="1" x14ac:dyDescent="0.25">
      <c r="A57" s="162" t="s">
        <v>25</v>
      </c>
      <c r="B57" s="187" t="s">
        <v>16</v>
      </c>
      <c r="C57" s="143">
        <v>119.59</v>
      </c>
      <c r="D57" s="143">
        <f t="shared" si="7"/>
        <v>95.671999999999983</v>
      </c>
      <c r="E57" s="186">
        <f t="shared" si="8"/>
        <v>23.918000000000003</v>
      </c>
      <c r="F57" s="165">
        <f t="shared" si="39"/>
        <v>1435.08</v>
      </c>
      <c r="G57" s="166">
        <f t="shared" ref="G57:G58" si="43">F57*0.2</f>
        <v>287.01600000000002</v>
      </c>
      <c r="H57" s="167">
        <f t="shared" ref="H57:H59" si="44">F57-G57</f>
        <v>1148.0639999999999</v>
      </c>
      <c r="I57" s="168">
        <f t="shared" si="42"/>
        <v>23.918000000000003</v>
      </c>
      <c r="J57" s="142">
        <v>24.45</v>
      </c>
      <c r="K57" s="144">
        <f t="shared" si="38"/>
        <v>-0.53199999999999648</v>
      </c>
      <c r="M57" s="80"/>
    </row>
    <row r="58" spans="1:13" ht="15.75" hidden="1" x14ac:dyDescent="0.25">
      <c r="A58" s="162" t="s">
        <v>26</v>
      </c>
      <c r="B58" s="187" t="s">
        <v>16</v>
      </c>
      <c r="C58" s="143">
        <v>50.85</v>
      </c>
      <c r="D58" s="143">
        <f t="shared" si="7"/>
        <v>40.68</v>
      </c>
      <c r="E58" s="186">
        <f t="shared" si="8"/>
        <v>10.170000000000002</v>
      </c>
      <c r="F58" s="165">
        <f t="shared" si="39"/>
        <v>610.20000000000005</v>
      </c>
      <c r="G58" s="166">
        <f t="shared" si="43"/>
        <v>122.04000000000002</v>
      </c>
      <c r="H58" s="167">
        <f t="shared" si="44"/>
        <v>488.16</v>
      </c>
      <c r="I58" s="168">
        <f t="shared" si="42"/>
        <v>10.170000000000002</v>
      </c>
      <c r="J58" s="142">
        <v>24.45</v>
      </c>
      <c r="K58" s="144">
        <f t="shared" si="38"/>
        <v>-14.279999999999998</v>
      </c>
      <c r="M58" s="80"/>
    </row>
    <row r="59" spans="1:13" ht="15.75" hidden="1" x14ac:dyDescent="0.25">
      <c r="A59" s="162" t="s">
        <v>27</v>
      </c>
      <c r="B59" s="187" t="s">
        <v>16</v>
      </c>
      <c r="C59" s="143">
        <v>9.52</v>
      </c>
      <c r="D59" s="143">
        <f t="shared" si="7"/>
        <v>7.6159999999999997</v>
      </c>
      <c r="E59" s="186">
        <f t="shared" si="8"/>
        <v>1.9039999999999999</v>
      </c>
      <c r="F59" s="165">
        <f t="shared" si="39"/>
        <v>114.24</v>
      </c>
      <c r="G59" s="166">
        <f>F59*0.2</f>
        <v>22.847999999999999</v>
      </c>
      <c r="H59" s="167">
        <f t="shared" si="44"/>
        <v>91.391999999999996</v>
      </c>
      <c r="I59" s="168">
        <f t="shared" si="42"/>
        <v>1.9039999999999999</v>
      </c>
      <c r="J59" s="142">
        <v>2.34</v>
      </c>
      <c r="K59" s="144">
        <f t="shared" si="38"/>
        <v>-0.43599999999999994</v>
      </c>
      <c r="M59" s="80"/>
    </row>
    <row r="60" spans="1:13" ht="15.75" hidden="1" x14ac:dyDescent="0.25">
      <c r="A60" s="162" t="s">
        <v>28</v>
      </c>
      <c r="B60" s="187" t="s">
        <v>50</v>
      </c>
      <c r="C60" s="143">
        <v>16.47</v>
      </c>
      <c r="D60" s="143">
        <f t="shared" si="7"/>
        <v>7.6158333333333337</v>
      </c>
      <c r="E60" s="186">
        <f t="shared" si="8"/>
        <v>8.8541666666666661</v>
      </c>
      <c r="F60" s="165">
        <f t="shared" si="39"/>
        <v>197.64</v>
      </c>
      <c r="G60" s="166">
        <f>F60-H60</f>
        <v>106.24999999999999</v>
      </c>
      <c r="H60" s="167">
        <v>91.39</v>
      </c>
      <c r="I60" s="168">
        <f t="shared" si="42"/>
        <v>8.8541666666666661</v>
      </c>
      <c r="J60" s="142">
        <v>11.45</v>
      </c>
      <c r="K60" s="144">
        <f t="shared" si="38"/>
        <v>-2.5958333333333332</v>
      </c>
      <c r="M60" s="80"/>
    </row>
    <row r="61" spans="1:13" ht="15.75" hidden="1" x14ac:dyDescent="0.25">
      <c r="A61" s="162" t="s">
        <v>29</v>
      </c>
      <c r="B61" s="187" t="s">
        <v>50</v>
      </c>
      <c r="C61" s="143">
        <v>28.61</v>
      </c>
      <c r="D61" s="143">
        <f t="shared" si="7"/>
        <v>7.6158333333333337</v>
      </c>
      <c r="E61" s="186">
        <f t="shared" si="8"/>
        <v>20.994166666666668</v>
      </c>
      <c r="F61" s="165">
        <f t="shared" si="39"/>
        <v>343.32</v>
      </c>
      <c r="G61" s="166">
        <f>F61-H61</f>
        <v>251.93</v>
      </c>
      <c r="H61" s="167">
        <v>91.39</v>
      </c>
      <c r="I61" s="168">
        <f t="shared" si="42"/>
        <v>20.994166666666668</v>
      </c>
      <c r="J61" s="142">
        <v>21.02</v>
      </c>
      <c r="K61" s="144">
        <f t="shared" si="38"/>
        <v>-2.5833333333331154E-2</v>
      </c>
      <c r="M61" s="80"/>
    </row>
    <row r="62" spans="1:13" ht="15.75" x14ac:dyDescent="0.25">
      <c r="A62" s="162" t="s">
        <v>25</v>
      </c>
      <c r="B62" s="134" t="s">
        <v>16</v>
      </c>
      <c r="C62" s="143">
        <v>119.59</v>
      </c>
      <c r="D62" s="143">
        <f t="shared" si="7"/>
        <v>95.671999999999983</v>
      </c>
      <c r="E62" s="186">
        <f t="shared" si="8"/>
        <v>23.918000000000003</v>
      </c>
      <c r="F62" s="165">
        <f t="shared" si="39"/>
        <v>1435.08</v>
      </c>
      <c r="G62" s="166">
        <f t="shared" ref="G62:G63" si="45">F62*0.2</f>
        <v>287.01600000000002</v>
      </c>
      <c r="H62" s="167">
        <f t="shared" ref="H62:H64" si="46">F62-G62</f>
        <v>1148.0639999999999</v>
      </c>
      <c r="I62" s="170">
        <f t="shared" si="42"/>
        <v>23.918000000000003</v>
      </c>
      <c r="J62" s="338">
        <v>23.918000000000003</v>
      </c>
      <c r="K62" s="171">
        <f t="shared" si="38"/>
        <v>0</v>
      </c>
      <c r="M62" s="80"/>
    </row>
    <row r="63" spans="1:13" ht="15.75" x14ac:dyDescent="0.25">
      <c r="A63" s="162" t="s">
        <v>26</v>
      </c>
      <c r="B63" s="134" t="s">
        <v>16</v>
      </c>
      <c r="C63" s="143">
        <v>50.85</v>
      </c>
      <c r="D63" s="143">
        <f t="shared" si="7"/>
        <v>40.68</v>
      </c>
      <c r="E63" s="186">
        <f t="shared" si="8"/>
        <v>10.170000000000002</v>
      </c>
      <c r="F63" s="165">
        <f t="shared" si="39"/>
        <v>610.20000000000005</v>
      </c>
      <c r="G63" s="166">
        <f t="shared" si="45"/>
        <v>122.04000000000002</v>
      </c>
      <c r="H63" s="167">
        <f t="shared" si="46"/>
        <v>488.16</v>
      </c>
      <c r="I63" s="170">
        <f t="shared" si="42"/>
        <v>10.170000000000002</v>
      </c>
      <c r="J63" s="338">
        <v>10.170000000000002</v>
      </c>
      <c r="K63" s="171">
        <f t="shared" si="38"/>
        <v>0</v>
      </c>
      <c r="M63" s="80"/>
    </row>
    <row r="64" spans="1:13" ht="15.75" x14ac:dyDescent="0.25">
      <c r="A64" s="162" t="s">
        <v>27</v>
      </c>
      <c r="B64" s="134" t="s">
        <v>16</v>
      </c>
      <c r="C64" s="143">
        <v>9.52</v>
      </c>
      <c r="D64" s="143">
        <f t="shared" si="7"/>
        <v>7.6159999999999997</v>
      </c>
      <c r="E64" s="186">
        <f t="shared" si="8"/>
        <v>1.9039999999999999</v>
      </c>
      <c r="F64" s="165">
        <f t="shared" si="39"/>
        <v>114.24</v>
      </c>
      <c r="G64" s="166">
        <f>F64*0.2</f>
        <v>22.847999999999999</v>
      </c>
      <c r="H64" s="167">
        <f t="shared" si="46"/>
        <v>91.391999999999996</v>
      </c>
      <c r="I64" s="170">
        <f t="shared" si="42"/>
        <v>1.9039999999999999</v>
      </c>
      <c r="J64" s="338">
        <v>1.9039999999999999</v>
      </c>
      <c r="K64" s="171">
        <f t="shared" si="38"/>
        <v>0</v>
      </c>
      <c r="M64" s="80"/>
    </row>
    <row r="65" spans="1:13" ht="15.75" x14ac:dyDescent="0.25">
      <c r="A65" s="162" t="s">
        <v>28</v>
      </c>
      <c r="B65" s="134" t="s">
        <v>50</v>
      </c>
      <c r="C65" s="143">
        <v>16.47</v>
      </c>
      <c r="D65" s="143">
        <f t="shared" si="7"/>
        <v>7.6158333333333337</v>
      </c>
      <c r="E65" s="186">
        <f t="shared" si="8"/>
        <v>8.8541666666666661</v>
      </c>
      <c r="F65" s="165">
        <f t="shared" si="39"/>
        <v>197.64</v>
      </c>
      <c r="G65" s="166">
        <f>F65-H65</f>
        <v>106.24999999999999</v>
      </c>
      <c r="H65" s="167">
        <v>91.39</v>
      </c>
      <c r="I65" s="170">
        <f t="shared" si="42"/>
        <v>8.8541666666666661</v>
      </c>
      <c r="J65" s="338">
        <v>8.8541666666666661</v>
      </c>
      <c r="K65" s="171">
        <f t="shared" si="38"/>
        <v>0</v>
      </c>
      <c r="M65" s="80"/>
    </row>
    <row r="66" spans="1:13" ht="15.75" x14ac:dyDescent="0.25">
      <c r="A66" s="162" t="s">
        <v>29</v>
      </c>
      <c r="B66" s="134" t="s">
        <v>50</v>
      </c>
      <c r="C66" s="143">
        <v>28.61</v>
      </c>
      <c r="D66" s="143">
        <f t="shared" si="7"/>
        <v>7.6158333333333337</v>
      </c>
      <c r="E66" s="186">
        <f t="shared" si="8"/>
        <v>20.994166666666668</v>
      </c>
      <c r="F66" s="165">
        <f t="shared" si="39"/>
        <v>343.32</v>
      </c>
      <c r="G66" s="166">
        <f>F66-H66</f>
        <v>251.93</v>
      </c>
      <c r="H66" s="167">
        <v>91.39</v>
      </c>
      <c r="I66" s="170">
        <f t="shared" si="42"/>
        <v>20.994166666666668</v>
      </c>
      <c r="J66" s="338">
        <v>20.994166666666668</v>
      </c>
      <c r="K66" s="171">
        <f t="shared" si="38"/>
        <v>0</v>
      </c>
      <c r="M66" s="80"/>
    </row>
    <row r="67" spans="1:13" x14ac:dyDescent="0.25">
      <c r="A67" s="199" t="s">
        <v>39</v>
      </c>
      <c r="B67" s="195"/>
      <c r="C67" s="192"/>
      <c r="D67" s="195"/>
      <c r="E67" s="196"/>
      <c r="F67" s="195"/>
      <c r="G67" s="195"/>
      <c r="H67" s="195"/>
      <c r="I67" s="196"/>
      <c r="J67" s="197"/>
      <c r="K67" s="198"/>
    </row>
    <row r="68" spans="1:13" ht="15.75" x14ac:dyDescent="0.25">
      <c r="A68" s="134" t="s">
        <v>4</v>
      </c>
      <c r="B68" s="187" t="s">
        <v>16</v>
      </c>
      <c r="C68" s="135">
        <v>276.41000000000003</v>
      </c>
      <c r="D68" s="135">
        <f>ROUND(H68/12,2)</f>
        <v>221.13</v>
      </c>
      <c r="E68" s="136">
        <f>ROUND(G68/12,2)</f>
        <v>55.28</v>
      </c>
      <c r="F68" s="137">
        <f>ROUND(C68*12,2)</f>
        <v>3316.92</v>
      </c>
      <c r="G68" s="138">
        <f>ROUND(F68*0.2,2)</f>
        <v>663.38</v>
      </c>
      <c r="H68" s="139">
        <f>ROUND(F68-G68,2)</f>
        <v>2653.54</v>
      </c>
      <c r="I68" s="140">
        <f t="shared" ref="I68:I73" si="47">G68/12</f>
        <v>55.281666666666666</v>
      </c>
      <c r="J68" s="337">
        <v>52.4</v>
      </c>
      <c r="K68" s="141">
        <f>I68-J68</f>
        <v>2.8816666666666677</v>
      </c>
      <c r="M68" s="80"/>
    </row>
    <row r="69" spans="1:13" ht="15.75" x14ac:dyDescent="0.25">
      <c r="A69" s="142" t="s">
        <v>5</v>
      </c>
      <c r="B69" s="187" t="s">
        <v>16</v>
      </c>
      <c r="C69" s="143">
        <v>552.82000000000005</v>
      </c>
      <c r="D69" s="135">
        <f t="shared" ref="D69" si="48">ROUND(H69/12,2)</f>
        <v>442.26</v>
      </c>
      <c r="E69" s="136">
        <f t="shared" ref="E69" si="49">ROUND(G69/12,2)</f>
        <v>110.56</v>
      </c>
      <c r="F69" s="137">
        <f t="shared" ref="F69" si="50">ROUND(C69*12,2)</f>
        <v>6633.84</v>
      </c>
      <c r="G69" s="138">
        <f t="shared" ref="G69" si="51">ROUND(F69*0.2,2)</f>
        <v>1326.77</v>
      </c>
      <c r="H69" s="139">
        <f t="shared" ref="H69" si="52">ROUND(F69-G69,2)</f>
        <v>5307.07</v>
      </c>
      <c r="I69" s="140">
        <f t="shared" si="47"/>
        <v>110.56416666666667</v>
      </c>
      <c r="J69" s="337">
        <v>104.8</v>
      </c>
      <c r="K69" s="144">
        <f>I69-J69</f>
        <v>5.764166666666668</v>
      </c>
      <c r="M69" s="80"/>
    </row>
    <row r="70" spans="1:13" ht="15.75" x14ac:dyDescent="0.25">
      <c r="A70" s="163" t="s">
        <v>6</v>
      </c>
      <c r="B70" s="187" t="s">
        <v>16</v>
      </c>
      <c r="C70" s="143">
        <v>829.23</v>
      </c>
      <c r="D70" s="135">
        <f>ROUND(H70/12,2)</f>
        <v>663.38</v>
      </c>
      <c r="E70" s="136">
        <f>ROUND(G70/12,2)</f>
        <v>165.85</v>
      </c>
      <c r="F70" s="137">
        <f>ROUND(C70*12,2)</f>
        <v>9950.76</v>
      </c>
      <c r="G70" s="138">
        <f>ROUND(F70*0.2,2)</f>
        <v>1990.15</v>
      </c>
      <c r="H70" s="139">
        <f>ROUND(F70-G70,2)</f>
        <v>7960.61</v>
      </c>
      <c r="I70" s="140">
        <f t="shared" si="47"/>
        <v>165.84583333333333</v>
      </c>
      <c r="J70" s="337">
        <v>157.20000000000002</v>
      </c>
      <c r="K70" s="144">
        <f>I70-J70</f>
        <v>8.6458333333333144</v>
      </c>
      <c r="M70" s="80"/>
    </row>
    <row r="71" spans="1:13" ht="15.75" x14ac:dyDescent="0.25">
      <c r="A71" s="142" t="s">
        <v>7</v>
      </c>
      <c r="B71" s="187" t="s">
        <v>16</v>
      </c>
      <c r="C71" s="143">
        <f>C68+C10</f>
        <v>991.85000000000014</v>
      </c>
      <c r="D71" s="135">
        <f t="shared" ref="D71:D73" si="53">ROUND(H71/12,2)</f>
        <v>793.48</v>
      </c>
      <c r="E71" s="136">
        <f t="shared" ref="E71:E73" si="54">ROUND(G71/12,2)</f>
        <v>198.37</v>
      </c>
      <c r="F71" s="137">
        <f t="shared" ref="F71:F73" si="55">ROUND(C71*12,2)</f>
        <v>11902.2</v>
      </c>
      <c r="G71" s="138">
        <f t="shared" ref="G71:G73" si="56">ROUND(F71*0.2,2)</f>
        <v>2380.44</v>
      </c>
      <c r="H71" s="139">
        <f t="shared" ref="H71:H73" si="57">ROUND(F71-G71,2)</f>
        <v>9521.76</v>
      </c>
      <c r="I71" s="140">
        <f t="shared" si="47"/>
        <v>198.37</v>
      </c>
      <c r="J71" s="337">
        <v>184.4</v>
      </c>
      <c r="K71" s="144">
        <f>I71-J71</f>
        <v>13.969999999999999</v>
      </c>
      <c r="M71" s="80"/>
    </row>
    <row r="72" spans="1:13" ht="15.75" x14ac:dyDescent="0.25">
      <c r="A72" s="163" t="s">
        <v>8</v>
      </c>
      <c r="B72" s="187" t="s">
        <v>16</v>
      </c>
      <c r="C72" s="143">
        <f>C68+C30</f>
        <v>1707.2900000000002</v>
      </c>
      <c r="D72" s="135">
        <f t="shared" si="53"/>
        <v>1365.83</v>
      </c>
      <c r="E72" s="136">
        <f t="shared" si="54"/>
        <v>341.46</v>
      </c>
      <c r="F72" s="137">
        <f t="shared" si="55"/>
        <v>20487.48</v>
      </c>
      <c r="G72" s="138">
        <f t="shared" si="56"/>
        <v>4097.5</v>
      </c>
      <c r="H72" s="139">
        <f t="shared" si="57"/>
        <v>16389.98</v>
      </c>
      <c r="I72" s="140">
        <f t="shared" si="47"/>
        <v>341.45833333333331</v>
      </c>
      <c r="J72" s="337">
        <v>316.40000000000003</v>
      </c>
      <c r="K72" s="144">
        <f t="shared" ref="K72:K73" si="58">I72-J72</f>
        <v>25.05833333333328</v>
      </c>
      <c r="M72" s="80"/>
    </row>
    <row r="73" spans="1:13" ht="15.75" x14ac:dyDescent="0.25">
      <c r="A73" s="339" t="s">
        <v>9</v>
      </c>
      <c r="B73" s="340" t="s">
        <v>16</v>
      </c>
      <c r="C73" s="341">
        <f>C69+C10</f>
        <v>1268.2600000000002</v>
      </c>
      <c r="D73" s="135">
        <f t="shared" si="53"/>
        <v>1014.61</v>
      </c>
      <c r="E73" s="136">
        <f t="shared" si="54"/>
        <v>253.65</v>
      </c>
      <c r="F73" s="137">
        <f t="shared" si="55"/>
        <v>15219.12</v>
      </c>
      <c r="G73" s="138">
        <f t="shared" si="56"/>
        <v>3043.82</v>
      </c>
      <c r="H73" s="139">
        <f t="shared" si="57"/>
        <v>12175.3</v>
      </c>
      <c r="I73" s="140">
        <f t="shared" si="47"/>
        <v>253.65166666666667</v>
      </c>
      <c r="J73" s="337">
        <v>236.79999999999998</v>
      </c>
      <c r="K73" s="144">
        <f t="shared" si="58"/>
        <v>16.851666666666688</v>
      </c>
      <c r="M73" s="80"/>
    </row>
    <row r="74" spans="1:13" hidden="1" x14ac:dyDescent="0.25">
      <c r="A74" s="200"/>
      <c r="B74" s="15"/>
      <c r="C74" s="201"/>
      <c r="D74" s="202"/>
      <c r="E74" s="203"/>
      <c r="F74" s="204"/>
      <c r="G74" s="205"/>
      <c r="H74" s="206"/>
      <c r="I74" s="207"/>
      <c r="J74" s="208"/>
      <c r="K74" s="209"/>
      <c r="M74" s="80"/>
    </row>
    <row r="75" spans="1:13" hidden="1" x14ac:dyDescent="0.25">
      <c r="A75" s="200"/>
      <c r="B75" s="15"/>
      <c r="C75" s="201"/>
      <c r="D75" s="202"/>
      <c r="E75" s="203"/>
      <c r="F75" s="204"/>
      <c r="G75" s="205"/>
      <c r="H75" s="206"/>
      <c r="I75" s="207"/>
      <c r="J75" s="208"/>
      <c r="K75" s="209"/>
      <c r="M75" s="80"/>
    </row>
    <row r="76" spans="1:13" x14ac:dyDescent="0.25">
      <c r="A76" s="210" t="s">
        <v>48</v>
      </c>
      <c r="B76" s="211"/>
      <c r="C76" s="212"/>
      <c r="D76" s="213"/>
      <c r="E76" s="214"/>
      <c r="F76" s="195"/>
      <c r="G76" s="195"/>
      <c r="H76" s="195"/>
      <c r="I76" s="196"/>
      <c r="J76" s="197"/>
      <c r="K76" s="198"/>
      <c r="M76" s="80"/>
    </row>
    <row r="77" spans="1:13" ht="15.75" x14ac:dyDescent="0.25">
      <c r="A77" s="187" t="s">
        <v>4</v>
      </c>
      <c r="B77" s="187" t="s">
        <v>16</v>
      </c>
      <c r="C77" s="153">
        <v>410.28</v>
      </c>
      <c r="D77" s="135">
        <f>ROUND(H77/12,2)</f>
        <v>328.22</v>
      </c>
      <c r="E77" s="136">
        <f>ROUND(G77/12,2)</f>
        <v>82.06</v>
      </c>
      <c r="F77" s="137">
        <f>ROUND(C77*12,2)</f>
        <v>4923.3599999999997</v>
      </c>
      <c r="G77" s="138">
        <f>ROUND(F77*0.2,2)</f>
        <v>984.67</v>
      </c>
      <c r="H77" s="139">
        <f>ROUND(F77-G77,2)</f>
        <v>3938.69</v>
      </c>
      <c r="I77" s="140">
        <f t="shared" ref="I77:I82" si="59">G77/12</f>
        <v>82.055833333333325</v>
      </c>
      <c r="J77" s="337">
        <v>78</v>
      </c>
      <c r="K77" s="141">
        <f>I77-J77</f>
        <v>4.0558333333333252</v>
      </c>
      <c r="M77" s="80"/>
    </row>
    <row r="78" spans="1:13" ht="15.75" x14ac:dyDescent="0.25">
      <c r="A78" s="142" t="s">
        <v>5</v>
      </c>
      <c r="B78" s="187" t="s">
        <v>16</v>
      </c>
      <c r="C78" s="143">
        <v>820.56</v>
      </c>
      <c r="D78" s="135">
        <f t="shared" ref="D78" si="60">ROUND(H78/12,2)</f>
        <v>656.45</v>
      </c>
      <c r="E78" s="136">
        <f t="shared" ref="E78" si="61">ROUND(G78/12,2)</f>
        <v>164.11</v>
      </c>
      <c r="F78" s="137">
        <f t="shared" ref="F78" si="62">ROUND(C78*12,2)</f>
        <v>9846.7199999999993</v>
      </c>
      <c r="G78" s="138">
        <f t="shared" ref="G78" si="63">ROUND(F78*0.2,2)</f>
        <v>1969.34</v>
      </c>
      <c r="H78" s="139">
        <f t="shared" ref="H78" si="64">ROUND(F78-G78,2)</f>
        <v>7877.38</v>
      </c>
      <c r="I78" s="140">
        <f t="shared" si="59"/>
        <v>164.11166666666665</v>
      </c>
      <c r="J78" s="337">
        <v>156</v>
      </c>
      <c r="K78" s="144">
        <f>I78-J78</f>
        <v>8.1116666666666504</v>
      </c>
      <c r="M78" s="80"/>
    </row>
    <row r="79" spans="1:13" ht="15.75" x14ac:dyDescent="0.25">
      <c r="A79" s="163" t="s">
        <v>6</v>
      </c>
      <c r="B79" s="187" t="s">
        <v>16</v>
      </c>
      <c r="C79" s="143">
        <v>1230.8399999999999</v>
      </c>
      <c r="D79" s="135">
        <f>ROUND(H79/12,2)</f>
        <v>984.67</v>
      </c>
      <c r="E79" s="136">
        <f>ROUND(G79/12,2)</f>
        <v>246.17</v>
      </c>
      <c r="F79" s="137">
        <f>ROUND(C79*12,2)</f>
        <v>14770.08</v>
      </c>
      <c r="G79" s="138">
        <f>ROUND(F79*0.2,2)</f>
        <v>2954.02</v>
      </c>
      <c r="H79" s="139">
        <f>ROUND(F79-G79,2)</f>
        <v>11816.06</v>
      </c>
      <c r="I79" s="140">
        <f t="shared" si="59"/>
        <v>246.16833333333332</v>
      </c>
      <c r="J79" s="337">
        <v>234</v>
      </c>
      <c r="K79" s="144">
        <f>I79-J79</f>
        <v>12.168333333333322</v>
      </c>
      <c r="M79" s="80"/>
    </row>
    <row r="80" spans="1:13" ht="15.75" x14ac:dyDescent="0.25">
      <c r="A80" s="142" t="s">
        <v>10</v>
      </c>
      <c r="B80" s="187" t="s">
        <v>16</v>
      </c>
      <c r="C80" s="143">
        <f>C77+C11</f>
        <v>998.28</v>
      </c>
      <c r="D80" s="135">
        <f t="shared" ref="D80:D82" si="65">ROUND(H80/12,2)</f>
        <v>798.62</v>
      </c>
      <c r="E80" s="136">
        <f t="shared" ref="E80:E82" si="66">ROUND(G80/12,2)</f>
        <v>199.66</v>
      </c>
      <c r="F80" s="137">
        <f t="shared" ref="F80:F82" si="67">ROUND(C80*12,2)</f>
        <v>11979.36</v>
      </c>
      <c r="G80" s="138">
        <f t="shared" ref="G80:G82" si="68">ROUND(F80*0.2,2)</f>
        <v>2395.87</v>
      </c>
      <c r="H80" s="139">
        <f t="shared" ref="H80:H82" si="69">ROUND(F80-G80,2)</f>
        <v>9583.49</v>
      </c>
      <c r="I80" s="140">
        <f t="shared" si="59"/>
        <v>199.65583333333333</v>
      </c>
      <c r="J80" s="337">
        <v>195.6</v>
      </c>
      <c r="K80" s="144">
        <f t="shared" ref="K80:K82" si="70">I80-J80</f>
        <v>4.0558333333333394</v>
      </c>
      <c r="M80" s="80"/>
    </row>
    <row r="81" spans="1:13" ht="15.75" x14ac:dyDescent="0.25">
      <c r="A81" s="163" t="s">
        <v>11</v>
      </c>
      <c r="B81" s="187" t="s">
        <v>16</v>
      </c>
      <c r="C81" s="143">
        <f>C77+C31</f>
        <v>1586.28</v>
      </c>
      <c r="D81" s="135">
        <f t="shared" si="65"/>
        <v>1269.02</v>
      </c>
      <c r="E81" s="136">
        <f t="shared" si="66"/>
        <v>317.26</v>
      </c>
      <c r="F81" s="137">
        <f t="shared" si="67"/>
        <v>19035.36</v>
      </c>
      <c r="G81" s="138">
        <f t="shared" si="68"/>
        <v>3807.07</v>
      </c>
      <c r="H81" s="139">
        <f t="shared" si="69"/>
        <v>15228.29</v>
      </c>
      <c r="I81" s="140">
        <f t="shared" si="59"/>
        <v>317.25583333333333</v>
      </c>
      <c r="J81" s="337">
        <v>313.2</v>
      </c>
      <c r="K81" s="144">
        <f t="shared" si="70"/>
        <v>4.0558333333333394</v>
      </c>
      <c r="M81" s="80"/>
    </row>
    <row r="82" spans="1:13" ht="15.75" x14ac:dyDescent="0.25">
      <c r="A82" s="142" t="s">
        <v>17</v>
      </c>
      <c r="B82" s="340" t="s">
        <v>16</v>
      </c>
      <c r="C82" s="341">
        <f>C78+C11</f>
        <v>1408.56</v>
      </c>
      <c r="D82" s="135">
        <f t="shared" si="65"/>
        <v>1126.8499999999999</v>
      </c>
      <c r="E82" s="136">
        <f t="shared" si="66"/>
        <v>281.70999999999998</v>
      </c>
      <c r="F82" s="137">
        <f t="shared" si="67"/>
        <v>16902.72</v>
      </c>
      <c r="G82" s="138">
        <f t="shared" si="68"/>
        <v>3380.54</v>
      </c>
      <c r="H82" s="139">
        <f t="shared" si="69"/>
        <v>13522.18</v>
      </c>
      <c r="I82" s="140">
        <f t="shared" si="59"/>
        <v>281.71166666666664</v>
      </c>
      <c r="J82" s="337">
        <v>273.59999999999997</v>
      </c>
      <c r="K82" s="173">
        <f t="shared" si="70"/>
        <v>8.1116666666666788</v>
      </c>
    </row>
    <row r="83" spans="1:13" hidden="1" x14ac:dyDescent="0.25">
      <c r="A83" s="215"/>
      <c r="B83" s="15"/>
      <c r="C83" s="201"/>
      <c r="D83" s="202"/>
      <c r="E83" s="203"/>
      <c r="F83" s="204"/>
      <c r="G83" s="205"/>
      <c r="H83" s="206"/>
      <c r="I83" s="207"/>
      <c r="J83" s="208"/>
      <c r="K83" s="216"/>
    </row>
    <row r="84" spans="1:13" hidden="1" x14ac:dyDescent="0.25">
      <c r="A84" s="215"/>
      <c r="B84" s="15"/>
      <c r="C84" s="201"/>
      <c r="D84" s="202"/>
      <c r="E84" s="203"/>
      <c r="F84" s="204"/>
      <c r="G84" s="205"/>
      <c r="H84" s="206"/>
      <c r="I84" s="207"/>
      <c r="J84" s="208"/>
      <c r="K84" s="216"/>
    </row>
    <row r="85" spans="1:13" x14ac:dyDescent="0.25">
      <c r="A85" s="217" t="s">
        <v>47</v>
      </c>
      <c r="B85" s="211"/>
      <c r="C85" s="192"/>
      <c r="D85" s="218"/>
      <c r="E85" s="219"/>
      <c r="F85" s="195"/>
      <c r="G85" s="195"/>
      <c r="H85" s="195"/>
      <c r="I85" s="196"/>
      <c r="J85" s="197"/>
      <c r="K85" s="198"/>
    </row>
    <row r="86" spans="1:13" ht="15.75" x14ac:dyDescent="0.25">
      <c r="A86" s="187" t="s">
        <v>4</v>
      </c>
      <c r="B86" s="187" t="s">
        <v>16</v>
      </c>
      <c r="C86" s="153">
        <v>305.64</v>
      </c>
      <c r="D86" s="135">
        <f>ROUND(H86/12,2)</f>
        <v>244.51</v>
      </c>
      <c r="E86" s="136">
        <f>ROUND(G86/12,2)</f>
        <v>61.13</v>
      </c>
      <c r="F86" s="137">
        <f>ROUND(C86*12,2)</f>
        <v>3667.68</v>
      </c>
      <c r="G86" s="138">
        <f>ROUND(F86*0.2,2)</f>
        <v>733.54</v>
      </c>
      <c r="H86" s="139">
        <f>ROUND(F86-G86,2)</f>
        <v>2934.14</v>
      </c>
      <c r="I86" s="140">
        <f t="shared" ref="I86:I91" si="71">G86/12</f>
        <v>61.12833333333333</v>
      </c>
      <c r="J86" s="337">
        <v>63.284166666666664</v>
      </c>
      <c r="K86" s="141">
        <f>I86-J86</f>
        <v>-2.1558333333333337</v>
      </c>
    </row>
    <row r="87" spans="1:13" ht="15.75" x14ac:dyDescent="0.25">
      <c r="A87" s="142" t="s">
        <v>5</v>
      </c>
      <c r="B87" s="187" t="s">
        <v>16</v>
      </c>
      <c r="C87" s="143">
        <v>611.28</v>
      </c>
      <c r="D87" s="135">
        <f t="shared" ref="D87" si="72">ROUND(H87/12,2)</f>
        <v>489.02</v>
      </c>
      <c r="E87" s="136">
        <f t="shared" ref="E87" si="73">ROUND(G87/12,2)</f>
        <v>122.26</v>
      </c>
      <c r="F87" s="137">
        <f t="shared" ref="F87" si="74">ROUND(C87*12,2)</f>
        <v>7335.36</v>
      </c>
      <c r="G87" s="138">
        <f t="shared" ref="G87" si="75">ROUND(F87*0.2,2)</f>
        <v>1467.07</v>
      </c>
      <c r="H87" s="139">
        <f t="shared" ref="H87" si="76">ROUND(F87-G87,2)</f>
        <v>5868.29</v>
      </c>
      <c r="I87" s="140">
        <f t="shared" si="71"/>
        <v>122.25583333333333</v>
      </c>
      <c r="J87" s="337">
        <v>126.56833333333333</v>
      </c>
      <c r="K87" s="144">
        <f>I87-J87</f>
        <v>-4.3125</v>
      </c>
    </row>
    <row r="88" spans="1:13" ht="15.75" x14ac:dyDescent="0.25">
      <c r="A88" s="163" t="s">
        <v>6</v>
      </c>
      <c r="B88" s="187" t="s">
        <v>16</v>
      </c>
      <c r="C88" s="143">
        <v>916.92</v>
      </c>
      <c r="D88" s="135">
        <f>ROUND(H88/12,2)</f>
        <v>733.54</v>
      </c>
      <c r="E88" s="136">
        <f>ROUND(G88/12,2)</f>
        <v>183.38</v>
      </c>
      <c r="F88" s="137">
        <f>ROUND(C88*12,2)</f>
        <v>11003.04</v>
      </c>
      <c r="G88" s="138">
        <f>ROUND(F88*0.2,2)</f>
        <v>2200.61</v>
      </c>
      <c r="H88" s="139">
        <f>ROUND(F88-G88,2)</f>
        <v>8802.43</v>
      </c>
      <c r="I88" s="140">
        <f t="shared" si="71"/>
        <v>183.38416666666669</v>
      </c>
      <c r="J88" s="337">
        <v>189.85166666666666</v>
      </c>
      <c r="K88" s="144">
        <f>I88-J88</f>
        <v>-6.4674999999999727</v>
      </c>
    </row>
    <row r="89" spans="1:13" ht="15.75" x14ac:dyDescent="0.25">
      <c r="A89" s="142" t="s">
        <v>12</v>
      </c>
      <c r="B89" s="187" t="s">
        <v>16</v>
      </c>
      <c r="C89" s="143">
        <f>C86+C9</f>
        <v>830.37</v>
      </c>
      <c r="D89" s="135">
        <f t="shared" ref="D89:D91" si="77">ROUND(H89/12,2)</f>
        <v>664.3</v>
      </c>
      <c r="E89" s="136">
        <f t="shared" ref="E89:E91" si="78">ROUND(G89/12,2)</f>
        <v>166.07</v>
      </c>
      <c r="F89" s="137">
        <f t="shared" ref="F89:F91" si="79">ROUND(C89*12,2)</f>
        <v>9964.44</v>
      </c>
      <c r="G89" s="138">
        <f t="shared" ref="G89:G91" si="80">ROUND(F89*0.2,2)</f>
        <v>1992.89</v>
      </c>
      <c r="H89" s="139">
        <f t="shared" ref="H89:H91" si="81">ROUND(F89-G89,2)</f>
        <v>7971.55</v>
      </c>
      <c r="I89" s="140">
        <f t="shared" si="71"/>
        <v>166.07416666666668</v>
      </c>
      <c r="J89" s="337">
        <v>173.73416666666665</v>
      </c>
      <c r="K89" s="144">
        <f t="shared" ref="K89:K91" si="82">I89-J89</f>
        <v>-7.6599999999999682</v>
      </c>
    </row>
    <row r="90" spans="1:13" ht="15.75" x14ac:dyDescent="0.25">
      <c r="A90" s="163" t="s">
        <v>13</v>
      </c>
      <c r="B90" s="187" t="s">
        <v>16</v>
      </c>
      <c r="C90" s="143">
        <f>C86+C29</f>
        <v>1355.1</v>
      </c>
      <c r="D90" s="135">
        <f t="shared" si="77"/>
        <v>1084.08</v>
      </c>
      <c r="E90" s="136">
        <f t="shared" si="78"/>
        <v>271.02</v>
      </c>
      <c r="F90" s="137">
        <f t="shared" si="79"/>
        <v>16261.2</v>
      </c>
      <c r="G90" s="138">
        <f t="shared" si="80"/>
        <v>3252.24</v>
      </c>
      <c r="H90" s="139">
        <f t="shared" si="81"/>
        <v>13008.96</v>
      </c>
      <c r="I90" s="140">
        <f t="shared" si="71"/>
        <v>271.02</v>
      </c>
      <c r="J90" s="337">
        <v>284.18166666666667</v>
      </c>
      <c r="K90" s="144">
        <f t="shared" si="82"/>
        <v>-13.16166666666669</v>
      </c>
    </row>
    <row r="91" spans="1:13" ht="15.75" x14ac:dyDescent="0.25">
      <c r="A91" s="142" t="s">
        <v>14</v>
      </c>
      <c r="B91" s="187" t="s">
        <v>16</v>
      </c>
      <c r="C91" s="143">
        <f>C87+C9</f>
        <v>1136.01</v>
      </c>
      <c r="D91" s="135">
        <f t="shared" si="77"/>
        <v>908.81</v>
      </c>
      <c r="E91" s="136">
        <f t="shared" si="78"/>
        <v>227.2</v>
      </c>
      <c r="F91" s="137">
        <f t="shared" si="79"/>
        <v>13632.12</v>
      </c>
      <c r="G91" s="138">
        <f t="shared" si="80"/>
        <v>2726.42</v>
      </c>
      <c r="H91" s="139">
        <f t="shared" si="81"/>
        <v>10905.7</v>
      </c>
      <c r="I91" s="140">
        <f t="shared" si="71"/>
        <v>227.20166666666668</v>
      </c>
      <c r="J91" s="337">
        <v>237.01833333333332</v>
      </c>
      <c r="K91" s="144">
        <f t="shared" si="82"/>
        <v>-9.8166666666666345</v>
      </c>
    </row>
    <row r="92" spans="1:13" s="13" customFormat="1" hidden="1" x14ac:dyDescent="0.25">
      <c r="A92" s="82" t="s">
        <v>43</v>
      </c>
      <c r="B92" s="25"/>
      <c r="C92" s="26"/>
      <c r="D92" s="26"/>
      <c r="E92" s="27"/>
      <c r="F92" s="28"/>
      <c r="G92" s="25"/>
      <c r="H92" s="25"/>
      <c r="I92" s="29"/>
      <c r="J92" s="25"/>
      <c r="K92" s="30"/>
    </row>
    <row r="93" spans="1:13" s="13" customFormat="1" hidden="1" x14ac:dyDescent="0.25">
      <c r="A93" s="20" t="s">
        <v>44</v>
      </c>
      <c r="B93" s="20" t="s">
        <v>45</v>
      </c>
      <c r="C93" s="23">
        <v>17</v>
      </c>
      <c r="D93" s="23">
        <v>0</v>
      </c>
      <c r="E93" s="31">
        <v>17</v>
      </c>
      <c r="F93" s="24"/>
      <c r="G93" s="20"/>
      <c r="H93" s="20"/>
      <c r="I93" s="32">
        <v>17</v>
      </c>
      <c r="J93" s="20"/>
      <c r="K93" s="33">
        <v>0</v>
      </c>
    </row>
    <row r="94" spans="1:13" s="13" customFormat="1" hidden="1" x14ac:dyDescent="0.25">
      <c r="A94" s="20" t="s">
        <v>46</v>
      </c>
      <c r="B94" s="20" t="s">
        <v>45</v>
      </c>
      <c r="C94" s="23">
        <v>15.5</v>
      </c>
      <c r="D94" s="23">
        <v>0</v>
      </c>
      <c r="E94" s="31">
        <v>15.5</v>
      </c>
      <c r="F94" s="24"/>
      <c r="G94" s="20"/>
      <c r="H94" s="20"/>
      <c r="I94" s="32">
        <v>15.5</v>
      </c>
      <c r="J94" s="20"/>
      <c r="K94" s="33">
        <v>0</v>
      </c>
    </row>
    <row r="95" spans="1:13" s="13" customFormat="1" hidden="1" x14ac:dyDescent="0.25">
      <c r="A95" s="4"/>
      <c r="B95" s="4"/>
      <c r="C95" s="2"/>
      <c r="D95" s="2"/>
      <c r="E95" s="11"/>
      <c r="F95" s="3"/>
      <c r="G95" s="4"/>
      <c r="H95" s="15"/>
      <c r="I95" s="16"/>
      <c r="J95" s="4"/>
      <c r="K95" s="4"/>
    </row>
    <row r="96" spans="1:13" s="13" customFormat="1" hidden="1" x14ac:dyDescent="0.25">
      <c r="A96" s="16" t="s">
        <v>56</v>
      </c>
      <c r="B96" s="16"/>
      <c r="C96" s="11"/>
      <c r="D96" s="11"/>
      <c r="E96" s="11"/>
      <c r="F96" s="3"/>
      <c r="G96" s="4"/>
      <c r="H96" s="15"/>
      <c r="I96" s="16"/>
      <c r="J96" s="4"/>
      <c r="K96" s="4"/>
    </row>
    <row r="97" spans="1:11" x14ac:dyDescent="0.25">
      <c r="A97" s="267" t="s">
        <v>43</v>
      </c>
      <c r="B97" s="211"/>
      <c r="C97" s="280"/>
      <c r="D97" s="280"/>
      <c r="E97" s="281"/>
      <c r="F97" s="286"/>
      <c r="G97" s="211"/>
      <c r="H97" s="211"/>
      <c r="I97" s="286"/>
      <c r="J97" s="211"/>
      <c r="K97" s="282"/>
    </row>
    <row r="98" spans="1:11" ht="15.75" x14ac:dyDescent="0.25">
      <c r="A98" s="162" t="s">
        <v>44</v>
      </c>
      <c r="B98" s="162" t="s">
        <v>45</v>
      </c>
      <c r="C98" s="283">
        <v>17</v>
      </c>
      <c r="D98" s="283">
        <v>0</v>
      </c>
      <c r="E98" s="342">
        <v>17</v>
      </c>
      <c r="F98" s="188"/>
      <c r="G98" s="142"/>
      <c r="H98" s="142"/>
      <c r="I98" s="284">
        <v>17</v>
      </c>
      <c r="J98" s="142"/>
      <c r="K98" s="343">
        <v>0</v>
      </c>
    </row>
    <row r="99" spans="1:11" x14ac:dyDescent="0.25">
      <c r="A99" s="6"/>
      <c r="B99" s="6"/>
      <c r="C99" s="274"/>
      <c r="D99" s="274"/>
      <c r="E99" s="276"/>
      <c r="F99" s="275"/>
      <c r="G99" s="6"/>
      <c r="H99" s="6"/>
      <c r="I99" s="275"/>
      <c r="J99" s="6"/>
      <c r="K99" s="6"/>
    </row>
    <row r="100" spans="1:11" x14ac:dyDescent="0.25">
      <c r="A100" s="275" t="s">
        <v>56</v>
      </c>
      <c r="B100" s="275"/>
      <c r="C100" s="276"/>
      <c r="D100" s="276"/>
      <c r="E100" s="276"/>
      <c r="F100" s="275"/>
      <c r="G100" s="6"/>
      <c r="H100" s="6"/>
      <c r="I100" s="275"/>
      <c r="J100" s="6"/>
      <c r="K100" s="6"/>
    </row>
    <row r="101" spans="1:11" x14ac:dyDescent="0.25">
      <c r="A101" s="6"/>
      <c r="B101" s="6"/>
      <c r="C101" s="274"/>
      <c r="D101" s="274"/>
      <c r="E101" s="276"/>
      <c r="F101" s="275"/>
      <c r="G101" s="6"/>
      <c r="H101" s="6"/>
      <c r="I101" s="275"/>
      <c r="J101" s="6"/>
      <c r="K101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96327-1D53-4651-B582-7712B8B5DB09}">
  <dimension ref="A1:I61"/>
  <sheetViews>
    <sheetView showGridLines="0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78" sqref="E78"/>
    </sheetView>
  </sheetViews>
  <sheetFormatPr defaultColWidth="8.85546875" defaultRowHeight="15.75" x14ac:dyDescent="0.25"/>
  <cols>
    <col min="1" max="1" width="43.28515625" style="34" customWidth="1"/>
    <col min="2" max="2" width="33.7109375" style="35" bestFit="1" customWidth="1"/>
    <col min="3" max="3" width="25.7109375" style="34" customWidth="1"/>
    <col min="4" max="4" width="19.85546875" style="34" customWidth="1"/>
    <col min="5" max="5" width="24.7109375" style="34" customWidth="1"/>
    <col min="6" max="16384" width="8.85546875" style="34"/>
  </cols>
  <sheetData>
    <row r="1" spans="1:9" s="72" customFormat="1" ht="18.600000000000001" customHeight="1" x14ac:dyDescent="0.3">
      <c r="A1" s="81" t="s">
        <v>91</v>
      </c>
      <c r="B1" s="59"/>
      <c r="C1" s="59"/>
      <c r="D1" s="59"/>
      <c r="E1" s="59"/>
      <c r="F1" s="59"/>
    </row>
    <row r="2" spans="1:9" s="72" customFormat="1" ht="7.9" customHeight="1" thickBot="1" x14ac:dyDescent="0.35">
      <c r="A2" s="71"/>
      <c r="B2" s="59"/>
      <c r="C2" s="59"/>
      <c r="D2" s="59"/>
      <c r="E2" s="59"/>
      <c r="F2" s="59"/>
    </row>
    <row r="3" spans="1:9" s="73" customFormat="1" ht="38.25" thickBot="1" x14ac:dyDescent="0.35">
      <c r="A3" s="70"/>
      <c r="B3" s="77" t="s">
        <v>78</v>
      </c>
      <c r="C3" s="75" t="s">
        <v>77</v>
      </c>
      <c r="D3" s="76" t="s">
        <v>76</v>
      </c>
      <c r="E3" s="119" t="s">
        <v>98</v>
      </c>
      <c r="F3" s="69"/>
    </row>
    <row r="4" spans="1:9" s="60" customFormat="1" ht="18.75" x14ac:dyDescent="0.3">
      <c r="A4" s="68" t="s">
        <v>75</v>
      </c>
      <c r="B4" s="67"/>
      <c r="C4" s="66"/>
      <c r="D4" s="65"/>
      <c r="E4" s="114"/>
    </row>
    <row r="5" spans="1:9" s="59" customFormat="1" ht="18.75" x14ac:dyDescent="0.3">
      <c r="A5" s="53" t="s">
        <v>63</v>
      </c>
      <c r="B5" s="62">
        <v>588</v>
      </c>
      <c r="C5" s="50">
        <v>636</v>
      </c>
      <c r="D5" s="49">
        <v>8.20277290532061E-2</v>
      </c>
      <c r="E5" s="115">
        <f>D5-8.2%</f>
        <v>2.7729053206110299E-5</v>
      </c>
    </row>
    <row r="6" spans="1:9" s="59" customFormat="1" ht="18.75" x14ac:dyDescent="0.3">
      <c r="A6" s="52" t="s">
        <v>62</v>
      </c>
      <c r="B6" s="62">
        <v>1176</v>
      </c>
      <c r="C6" s="50">
        <v>1272</v>
      </c>
      <c r="D6" s="49">
        <v>8.163265306122458E-2</v>
      </c>
      <c r="E6" s="120">
        <f t="shared" ref="E6:E27" si="0">D6-8.2%</f>
        <v>-3.6734693877540914E-4</v>
      </c>
    </row>
    <row r="7" spans="1:9" s="59" customFormat="1" ht="18.75" x14ac:dyDescent="0.3">
      <c r="A7" s="53" t="s">
        <v>61</v>
      </c>
      <c r="B7" s="62">
        <v>1764</v>
      </c>
      <c r="C7" s="50">
        <v>1908</v>
      </c>
      <c r="D7" s="49">
        <v>8.163265306122458E-2</v>
      </c>
      <c r="E7" s="120">
        <f t="shared" si="0"/>
        <v>-3.6734693877540914E-4</v>
      </c>
      <c r="I7" s="59" t="s">
        <v>30</v>
      </c>
    </row>
    <row r="8" spans="1:9" s="60" customFormat="1" ht="18.75" x14ac:dyDescent="0.3">
      <c r="A8" s="57" t="s">
        <v>74</v>
      </c>
      <c r="B8" s="64"/>
      <c r="C8" s="63"/>
      <c r="D8" s="61"/>
      <c r="E8" s="116"/>
    </row>
    <row r="9" spans="1:9" s="59" customFormat="1" ht="18.75" x14ac:dyDescent="0.3">
      <c r="A9" s="53" t="s">
        <v>63</v>
      </c>
      <c r="B9" s="51">
        <v>588</v>
      </c>
      <c r="C9" s="50">
        <v>636</v>
      </c>
      <c r="D9" s="49">
        <v>8.20277290532061E-2</v>
      </c>
      <c r="E9" s="115">
        <f t="shared" si="0"/>
        <v>2.7729053206110299E-5</v>
      </c>
    </row>
    <row r="10" spans="1:9" s="59" customFormat="1" ht="18.75" x14ac:dyDescent="0.3">
      <c r="A10" s="52" t="s">
        <v>62</v>
      </c>
      <c r="B10" s="51">
        <v>1176</v>
      </c>
      <c r="C10" s="50">
        <v>1272</v>
      </c>
      <c r="D10" s="49">
        <v>8.163265306122458E-2</v>
      </c>
      <c r="E10" s="115">
        <f t="shared" si="0"/>
        <v>-3.6734693877540914E-4</v>
      </c>
    </row>
    <row r="11" spans="1:9" s="59" customFormat="1" ht="18.75" x14ac:dyDescent="0.3">
      <c r="A11" s="53" t="s">
        <v>61</v>
      </c>
      <c r="B11" s="51">
        <v>1764</v>
      </c>
      <c r="C11" s="50">
        <v>1908</v>
      </c>
      <c r="D11" s="49">
        <v>8.163265306122458E-2</v>
      </c>
      <c r="E11" s="115">
        <f t="shared" si="0"/>
        <v>-3.6734693877540914E-4</v>
      </c>
    </row>
    <row r="12" spans="1:9" s="60" customFormat="1" ht="18.75" x14ac:dyDescent="0.3">
      <c r="A12" s="57" t="s">
        <v>73</v>
      </c>
      <c r="B12" s="56"/>
      <c r="C12" s="58"/>
      <c r="D12" s="61"/>
      <c r="E12" s="116"/>
    </row>
    <row r="13" spans="1:9" s="59" customFormat="1" ht="18.75" x14ac:dyDescent="0.3">
      <c r="A13" s="53" t="s">
        <v>63</v>
      </c>
      <c r="B13" s="51">
        <v>390</v>
      </c>
      <c r="C13" s="50">
        <v>442</v>
      </c>
      <c r="D13" s="49">
        <v>0.13447077282905417</v>
      </c>
      <c r="E13" s="115">
        <f t="shared" si="0"/>
        <v>5.2470772829054185E-2</v>
      </c>
    </row>
    <row r="14" spans="1:9" s="59" customFormat="1" ht="18.75" x14ac:dyDescent="0.3">
      <c r="A14" s="52" t="s">
        <v>62</v>
      </c>
      <c r="B14" s="51">
        <v>780</v>
      </c>
      <c r="C14" s="50">
        <v>884</v>
      </c>
      <c r="D14" s="49">
        <v>0.1333333333333333</v>
      </c>
      <c r="E14" s="115">
        <f t="shared" si="0"/>
        <v>5.1333333333333314E-2</v>
      </c>
    </row>
    <row r="15" spans="1:9" s="59" customFormat="1" ht="18.75" x14ac:dyDescent="0.3">
      <c r="A15" s="53" t="s">
        <v>61</v>
      </c>
      <c r="B15" s="51">
        <v>1170</v>
      </c>
      <c r="C15" s="50">
        <v>1326</v>
      </c>
      <c r="D15" s="49">
        <v>0.1333333333333333</v>
      </c>
      <c r="E15" s="115">
        <f t="shared" si="0"/>
        <v>5.1333333333333314E-2</v>
      </c>
    </row>
    <row r="16" spans="1:9" s="60" customFormat="1" ht="18.75" x14ac:dyDescent="0.3">
      <c r="A16" s="57" t="s">
        <v>72</v>
      </c>
      <c r="B16" s="56"/>
      <c r="C16" s="58"/>
      <c r="D16" s="61"/>
      <c r="E16" s="116"/>
    </row>
    <row r="17" spans="1:5" s="59" customFormat="1" ht="18.75" x14ac:dyDescent="0.3">
      <c r="A17" s="53" t="s">
        <v>63</v>
      </c>
      <c r="B17" s="62">
        <v>660</v>
      </c>
      <c r="C17" s="50">
        <v>769</v>
      </c>
      <c r="D17" s="49">
        <v>0.16578201520172486</v>
      </c>
      <c r="E17" s="115">
        <f t="shared" si="0"/>
        <v>8.3782015201724874E-2</v>
      </c>
    </row>
    <row r="18" spans="1:5" s="59" customFormat="1" ht="18.75" x14ac:dyDescent="0.3">
      <c r="A18" s="52" t="s">
        <v>62</v>
      </c>
      <c r="B18" s="62">
        <v>1320</v>
      </c>
      <c r="C18" s="50">
        <v>1538</v>
      </c>
      <c r="D18" s="49">
        <v>0.16515151515151505</v>
      </c>
      <c r="E18" s="115">
        <f t="shared" si="0"/>
        <v>8.315151515151506E-2</v>
      </c>
    </row>
    <row r="19" spans="1:5" s="59" customFormat="1" ht="18.75" x14ac:dyDescent="0.3">
      <c r="A19" s="53" t="s">
        <v>61</v>
      </c>
      <c r="B19" s="62">
        <v>1980</v>
      </c>
      <c r="C19" s="50">
        <v>2307</v>
      </c>
      <c r="D19" s="49">
        <v>0.16515151515151505</v>
      </c>
      <c r="E19" s="115">
        <f t="shared" si="0"/>
        <v>8.315151515151506E-2</v>
      </c>
    </row>
    <row r="20" spans="1:5" s="60" customFormat="1" ht="18.75" x14ac:dyDescent="0.3">
      <c r="A20" s="57" t="s">
        <v>71</v>
      </c>
      <c r="B20" s="56"/>
      <c r="C20" s="58"/>
      <c r="D20" s="61"/>
      <c r="E20" s="116"/>
    </row>
    <row r="21" spans="1:5" s="59" customFormat="1" ht="18.75" x14ac:dyDescent="0.3">
      <c r="A21" s="53" t="s">
        <v>63</v>
      </c>
      <c r="B21" s="51">
        <v>660</v>
      </c>
      <c r="C21" s="50">
        <v>769</v>
      </c>
      <c r="D21" s="49">
        <v>0.16578201520172486</v>
      </c>
      <c r="E21" s="115">
        <f t="shared" si="0"/>
        <v>8.3782015201724874E-2</v>
      </c>
    </row>
    <row r="22" spans="1:5" s="59" customFormat="1" ht="18.75" x14ac:dyDescent="0.3">
      <c r="A22" s="52" t="s">
        <v>62</v>
      </c>
      <c r="B22" s="51">
        <v>1320</v>
      </c>
      <c r="C22" s="50">
        <v>1538</v>
      </c>
      <c r="D22" s="49">
        <v>0.16515151515151505</v>
      </c>
      <c r="E22" s="115">
        <f t="shared" si="0"/>
        <v>8.315151515151506E-2</v>
      </c>
    </row>
    <row r="23" spans="1:5" s="59" customFormat="1" ht="18.75" x14ac:dyDescent="0.3">
      <c r="A23" s="53" t="s">
        <v>61</v>
      </c>
      <c r="B23" s="51">
        <v>1980</v>
      </c>
      <c r="C23" s="50">
        <v>2307</v>
      </c>
      <c r="D23" s="49">
        <v>0.16515151515151505</v>
      </c>
      <c r="E23" s="115">
        <f t="shared" si="0"/>
        <v>8.315151515151506E-2</v>
      </c>
    </row>
    <row r="24" spans="1:5" s="60" customFormat="1" ht="18.75" x14ac:dyDescent="0.3">
      <c r="A24" s="57" t="s">
        <v>70</v>
      </c>
      <c r="B24" s="56"/>
      <c r="C24" s="58"/>
      <c r="D24" s="54"/>
      <c r="E24" s="117"/>
    </row>
    <row r="25" spans="1:5" s="59" customFormat="1" ht="18.75" x14ac:dyDescent="0.3">
      <c r="A25" s="53" t="s">
        <v>63</v>
      </c>
      <c r="B25" s="62">
        <v>262</v>
      </c>
      <c r="C25" s="50">
        <v>298</v>
      </c>
      <c r="D25" s="49">
        <v>0.13659658640479999</v>
      </c>
      <c r="E25" s="115">
        <f t="shared" si="0"/>
        <v>5.4596586404800002E-2</v>
      </c>
    </row>
    <row r="26" spans="1:5" s="59" customFormat="1" ht="18.75" x14ac:dyDescent="0.3">
      <c r="A26" s="52" t="s">
        <v>62</v>
      </c>
      <c r="B26" s="62">
        <v>524</v>
      </c>
      <c r="C26" s="50">
        <v>596</v>
      </c>
      <c r="D26" s="49">
        <v>0.13740458015267176</v>
      </c>
      <c r="E26" s="115">
        <f t="shared" si="0"/>
        <v>5.5404580152671773E-2</v>
      </c>
    </row>
    <row r="27" spans="1:5" s="59" customFormat="1" ht="18.75" x14ac:dyDescent="0.3">
      <c r="A27" s="53" t="s">
        <v>61</v>
      </c>
      <c r="B27" s="62">
        <v>786</v>
      </c>
      <c r="C27" s="50">
        <v>894</v>
      </c>
      <c r="D27" s="49">
        <v>0.13740458015267176</v>
      </c>
      <c r="E27" s="115">
        <f t="shared" si="0"/>
        <v>5.5404580152671773E-2</v>
      </c>
    </row>
    <row r="28" spans="1:5" s="60" customFormat="1" ht="18.75" x14ac:dyDescent="0.3">
      <c r="A28" s="57" t="s">
        <v>69</v>
      </c>
      <c r="B28" s="56"/>
      <c r="C28" s="58"/>
      <c r="D28" s="61"/>
      <c r="E28" s="116"/>
    </row>
    <row r="29" spans="1:5" s="59" customFormat="1" ht="18.75" x14ac:dyDescent="0.3">
      <c r="A29" s="53" t="s">
        <v>63</v>
      </c>
      <c r="B29" s="62">
        <v>229</v>
      </c>
      <c r="C29" s="50">
        <v>228</v>
      </c>
      <c r="D29" s="49">
        <v>-6.3434061908648198E-3</v>
      </c>
      <c r="E29" s="115"/>
    </row>
    <row r="30" spans="1:5" s="59" customFormat="1" ht="18.75" x14ac:dyDescent="0.3">
      <c r="A30" s="52" t="s">
        <v>62</v>
      </c>
      <c r="B30" s="62">
        <v>458</v>
      </c>
      <c r="C30" s="50">
        <v>456</v>
      </c>
      <c r="D30" s="49">
        <v>-4.366812227074246E-3</v>
      </c>
      <c r="E30" s="115"/>
    </row>
    <row r="31" spans="1:5" s="59" customFormat="1" ht="18.75" x14ac:dyDescent="0.3">
      <c r="A31" s="53" t="s">
        <v>61</v>
      </c>
      <c r="B31" s="62">
        <v>687</v>
      </c>
      <c r="C31" s="50">
        <v>684</v>
      </c>
      <c r="D31" s="49">
        <v>-4.366812227074246E-3</v>
      </c>
      <c r="E31" s="115"/>
    </row>
    <row r="32" spans="1:5" s="60" customFormat="1" ht="18.75" x14ac:dyDescent="0.3">
      <c r="A32" s="57" t="s">
        <v>68</v>
      </c>
      <c r="B32" s="56"/>
      <c r="C32" s="58"/>
      <c r="D32" s="61"/>
      <c r="E32" s="116"/>
    </row>
    <row r="33" spans="1:6" s="59" customFormat="1" ht="18.75" x14ac:dyDescent="0.3">
      <c r="A33" s="53" t="s">
        <v>63</v>
      </c>
      <c r="B33" s="51">
        <v>229</v>
      </c>
      <c r="C33" s="50">
        <v>228</v>
      </c>
      <c r="D33" s="49">
        <v>-6.3434061908648198E-3</v>
      </c>
      <c r="E33" s="115"/>
    </row>
    <row r="34" spans="1:6" s="59" customFormat="1" ht="18.75" x14ac:dyDescent="0.3">
      <c r="A34" s="52" t="s">
        <v>62</v>
      </c>
      <c r="B34" s="51">
        <v>458</v>
      </c>
      <c r="C34" s="50">
        <v>456</v>
      </c>
      <c r="D34" s="49">
        <v>-4.366812227074246E-3</v>
      </c>
      <c r="E34" s="115"/>
    </row>
    <row r="35" spans="1:6" s="59" customFormat="1" ht="18.75" x14ac:dyDescent="0.3">
      <c r="A35" s="53" t="s">
        <v>61</v>
      </c>
      <c r="B35" s="51">
        <v>687</v>
      </c>
      <c r="C35" s="50">
        <v>684</v>
      </c>
      <c r="D35" s="49">
        <v>-4.366812227074246E-3</v>
      </c>
      <c r="E35" s="115"/>
    </row>
    <row r="36" spans="1:6" s="60" customFormat="1" ht="18.75" x14ac:dyDescent="0.3">
      <c r="A36" s="57" t="s">
        <v>67</v>
      </c>
      <c r="B36" s="56"/>
      <c r="C36" s="58"/>
      <c r="D36" s="54"/>
      <c r="E36" s="117"/>
    </row>
    <row r="37" spans="1:6" s="59" customFormat="1" ht="18.75" x14ac:dyDescent="0.3">
      <c r="A37" s="53" t="s">
        <v>63</v>
      </c>
      <c r="B37" s="51">
        <v>229</v>
      </c>
      <c r="C37" s="50">
        <v>228</v>
      </c>
      <c r="D37" s="49">
        <v>-6.3434061908648198E-3</v>
      </c>
      <c r="E37" s="115"/>
    </row>
    <row r="38" spans="1:6" s="59" customFormat="1" ht="18.75" x14ac:dyDescent="0.3">
      <c r="A38" s="52" t="s">
        <v>62</v>
      </c>
      <c r="B38" s="51">
        <v>458</v>
      </c>
      <c r="C38" s="50">
        <v>456</v>
      </c>
      <c r="D38" s="49">
        <v>-4.366812227074246E-3</v>
      </c>
      <c r="E38" s="115"/>
    </row>
    <row r="39" spans="1:6" s="59" customFormat="1" ht="18.75" x14ac:dyDescent="0.3">
      <c r="A39" s="53" t="s">
        <v>61</v>
      </c>
      <c r="B39" s="51">
        <v>687</v>
      </c>
      <c r="C39" s="50">
        <v>684</v>
      </c>
      <c r="D39" s="49">
        <v>-4.366812227074246E-3</v>
      </c>
      <c r="E39" s="115"/>
    </row>
    <row r="40" spans="1:6" s="72" customFormat="1" ht="18.75" x14ac:dyDescent="0.3">
      <c r="A40" s="57" t="s">
        <v>66</v>
      </c>
      <c r="B40" s="56"/>
      <c r="C40" s="58"/>
      <c r="D40" s="54"/>
      <c r="E40" s="117"/>
      <c r="F40" s="34"/>
    </row>
    <row r="41" spans="1:6" s="74" customFormat="1" ht="18.75" x14ac:dyDescent="0.3">
      <c r="A41" s="53" t="s">
        <v>63</v>
      </c>
      <c r="B41" s="51">
        <v>552.25</v>
      </c>
      <c r="C41" s="50">
        <v>524.73</v>
      </c>
      <c r="D41" s="49">
        <v>-4.98325033952014E-2</v>
      </c>
      <c r="E41" s="115"/>
      <c r="F41" s="37"/>
    </row>
    <row r="42" spans="1:6" s="74" customFormat="1" ht="18.75" x14ac:dyDescent="0.3">
      <c r="A42" s="52" t="s">
        <v>62</v>
      </c>
      <c r="B42" s="51">
        <v>1104.49</v>
      </c>
      <c r="C42" s="50">
        <v>1049.46</v>
      </c>
      <c r="D42" s="49">
        <v>-4.9823900623817252E-2</v>
      </c>
      <c r="E42" s="115"/>
      <c r="F42" s="37"/>
    </row>
    <row r="43" spans="1:6" s="74" customFormat="1" ht="18.75" x14ac:dyDescent="0.3">
      <c r="A43" s="53" t="s">
        <v>61</v>
      </c>
      <c r="B43" s="51">
        <v>1656.74</v>
      </c>
      <c r="C43" s="50">
        <v>1574.18</v>
      </c>
      <c r="D43" s="49">
        <v>-4.9832804181706214E-2</v>
      </c>
      <c r="E43" s="115"/>
      <c r="F43" s="37"/>
    </row>
    <row r="44" spans="1:6" s="72" customFormat="1" ht="18.75" x14ac:dyDescent="0.3">
      <c r="A44" s="57" t="s">
        <v>65</v>
      </c>
      <c r="B44" s="56"/>
      <c r="C44" s="55"/>
      <c r="D44" s="54"/>
      <c r="E44" s="117"/>
      <c r="F44" s="34"/>
    </row>
    <row r="45" spans="1:6" s="74" customFormat="1" ht="18.75" x14ac:dyDescent="0.3">
      <c r="A45" s="53" t="s">
        <v>63</v>
      </c>
      <c r="B45" s="51">
        <v>552.25</v>
      </c>
      <c r="C45" s="50">
        <v>524.73</v>
      </c>
      <c r="D45" s="49">
        <v>-4.98325033952014E-2</v>
      </c>
      <c r="E45" s="115"/>
      <c r="F45" s="37"/>
    </row>
    <row r="46" spans="1:6" s="74" customFormat="1" ht="18.75" x14ac:dyDescent="0.3">
      <c r="A46" s="52" t="s">
        <v>62</v>
      </c>
      <c r="B46" s="51">
        <v>1104.49</v>
      </c>
      <c r="C46" s="50">
        <v>1049.46</v>
      </c>
      <c r="D46" s="49">
        <v>-4.9823900623817252E-2</v>
      </c>
      <c r="E46" s="115"/>
      <c r="F46" s="37"/>
    </row>
    <row r="47" spans="1:6" s="74" customFormat="1" ht="18.75" x14ac:dyDescent="0.3">
      <c r="A47" s="53" t="s">
        <v>61</v>
      </c>
      <c r="B47" s="51">
        <v>1656.74</v>
      </c>
      <c r="C47" s="50">
        <v>1574.18</v>
      </c>
      <c r="D47" s="49">
        <v>-4.9832804181706214E-2</v>
      </c>
      <c r="E47" s="115"/>
      <c r="F47" s="37"/>
    </row>
    <row r="48" spans="1:6" s="72" customFormat="1" ht="18.75" x14ac:dyDescent="0.3">
      <c r="A48" s="57" t="s">
        <v>64</v>
      </c>
      <c r="B48" s="56"/>
      <c r="C48" s="55"/>
      <c r="D48" s="54"/>
      <c r="E48" s="117"/>
      <c r="F48" s="34"/>
    </row>
    <row r="49" spans="1:6" s="74" customFormat="1" ht="18.75" x14ac:dyDescent="0.3">
      <c r="A49" s="53" t="s">
        <v>63</v>
      </c>
      <c r="B49" s="51">
        <v>316.42</v>
      </c>
      <c r="C49" s="50">
        <v>305.64</v>
      </c>
      <c r="D49" s="49">
        <v>-3.4068642942923999E-2</v>
      </c>
      <c r="E49" s="115"/>
      <c r="F49" s="37"/>
    </row>
    <row r="50" spans="1:6" s="74" customFormat="1" ht="18.75" x14ac:dyDescent="0.3">
      <c r="A50" s="52" t="s">
        <v>62</v>
      </c>
      <c r="B50" s="51">
        <v>632.84</v>
      </c>
      <c r="C50" s="50">
        <v>611.28</v>
      </c>
      <c r="D50" s="49">
        <v>-3.4068642942923999E-2</v>
      </c>
      <c r="E50" s="115"/>
      <c r="F50" s="37"/>
    </row>
    <row r="51" spans="1:6" s="74" customFormat="1" ht="19.5" thickBot="1" x14ac:dyDescent="0.35">
      <c r="A51" s="48" t="s">
        <v>61</v>
      </c>
      <c r="B51" s="47">
        <v>949.26</v>
      </c>
      <c r="C51" s="46">
        <v>916.92</v>
      </c>
      <c r="D51" s="45">
        <v>-3.4068642942923999E-2</v>
      </c>
      <c r="E51" s="115"/>
      <c r="F51" s="37"/>
    </row>
    <row r="52" spans="1:6" s="74" customFormat="1" ht="16.5" thickBot="1" x14ac:dyDescent="0.3">
      <c r="A52" s="37"/>
      <c r="B52" s="44"/>
      <c r="C52" s="43"/>
      <c r="D52" s="42"/>
      <c r="E52" s="42"/>
      <c r="F52" s="37"/>
    </row>
    <row r="53" spans="1:6" s="72" customFormat="1" ht="19.5" thickBot="1" x14ac:dyDescent="0.35">
      <c r="A53" s="41" t="s">
        <v>60</v>
      </c>
      <c r="B53" s="78" t="s">
        <v>90</v>
      </c>
      <c r="C53" s="40" t="s">
        <v>90</v>
      </c>
      <c r="D53" s="39"/>
      <c r="E53" s="118"/>
      <c r="F53" s="34"/>
    </row>
    <row r="54" spans="1:6" s="72" customFormat="1" x14ac:dyDescent="0.25">
      <c r="A54" s="37"/>
      <c r="B54" s="38"/>
      <c r="C54" s="37"/>
      <c r="D54" s="37"/>
      <c r="E54" s="37"/>
      <c r="F54" s="34"/>
    </row>
    <row r="55" spans="1:6" s="72" customFormat="1" x14ac:dyDescent="0.25">
      <c r="A55" s="34"/>
      <c r="B55" s="35"/>
      <c r="C55" s="37"/>
      <c r="D55" s="34"/>
      <c r="E55" s="34"/>
      <c r="F55" s="34"/>
    </row>
    <row r="56" spans="1:6" s="72" customFormat="1" x14ac:dyDescent="0.25">
      <c r="A56" s="34"/>
      <c r="B56" s="36"/>
      <c r="C56" s="34"/>
      <c r="D56" s="34"/>
      <c r="E56" s="34"/>
      <c r="F56" s="34"/>
    </row>
    <row r="57" spans="1:6" s="72" customFormat="1" x14ac:dyDescent="0.25">
      <c r="A57" s="34"/>
      <c r="B57" s="36"/>
      <c r="C57" s="34"/>
      <c r="D57" s="34"/>
      <c r="E57" s="34"/>
      <c r="F57" s="34"/>
    </row>
    <row r="58" spans="1:6" s="72" customFormat="1" x14ac:dyDescent="0.25">
      <c r="A58" s="34"/>
      <c r="B58" s="36"/>
      <c r="C58" s="34"/>
      <c r="D58" s="34"/>
      <c r="E58" s="34"/>
      <c r="F58" s="34"/>
    </row>
    <row r="59" spans="1:6" s="72" customFormat="1" x14ac:dyDescent="0.25">
      <c r="A59" s="34"/>
      <c r="B59" s="35"/>
      <c r="C59" s="34"/>
      <c r="D59" s="34"/>
      <c r="E59" s="34"/>
      <c r="F59" s="34"/>
    </row>
    <row r="60" spans="1:6" s="72" customFormat="1" x14ac:dyDescent="0.25">
      <c r="A60" s="34"/>
      <c r="B60" s="35"/>
      <c r="C60" s="34"/>
      <c r="D60" s="34"/>
      <c r="E60" s="34"/>
      <c r="F60" s="34"/>
    </row>
    <row r="61" spans="1:6" s="72" customFormat="1" x14ac:dyDescent="0.25">
      <c r="A61" s="34"/>
      <c r="B61" s="35"/>
      <c r="C61" s="34"/>
      <c r="D61" s="34"/>
      <c r="E61" s="34"/>
      <c r="F61" s="34"/>
    </row>
  </sheetData>
  <printOptions horizontalCentered="1"/>
  <pageMargins left="0" right="0" top="0.69" bottom="0.81" header="0.26" footer="0.27"/>
  <pageSetup paperSize="5" scale="46" fitToHeight="20" orientation="landscape" r:id="rId1"/>
  <headerFooter alignWithMargins="0">
    <oddHeader xml:space="preserve">&amp;C&amp;"Times New Roman,Bold"&amp;18Maryland National Capital Parks and Planning Commission&amp;"Times New Roman,Regular"&amp;12
&amp;"Times New Roman,Bold"&amp;14 Projections for Medical &amp; Rx Plans&amp;"Times New Roman,Regular"&amp;12
</oddHeader>
    <oddFooter>&amp;L&amp;8&amp;D  &amp;T  &amp;F  &amp;A&amp;C&amp;10&amp;P&amp;R&amp;"Times New Roman,Bold Italic"&amp;G</oddFooter>
  </headerFooter>
  <rowBreaks count="1" manualBreakCount="1">
    <brk id="27" max="1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FOP</vt:lpstr>
      <vt:lpstr>Contract</vt:lpstr>
      <vt:lpstr>MCGEO</vt:lpstr>
      <vt:lpstr>RetireeSurv</vt:lpstr>
      <vt:lpstr>Med &amp; Rx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Henderson, Cynthia</dc:creator>
  <cp:lastModifiedBy>Cynthia Henderson</cp:lastModifiedBy>
  <cp:lastPrinted>2020-10-24T19:25:48Z</cp:lastPrinted>
  <dcterms:created xsi:type="dcterms:W3CDTF">2018-09-25T14:40:42Z</dcterms:created>
  <dcterms:modified xsi:type="dcterms:W3CDTF">2020-10-30T17:12:42Z</dcterms:modified>
</cp:coreProperties>
</file>